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5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hidePivotFieldList="1" defaultThemeVersion="124226"/>
  <bookViews>
    <workbookView xWindow="9600" yWindow="-15" windowWidth="9645" windowHeight="11640" tabRatio="919"/>
  </bookViews>
  <sheets>
    <sheet name="CONTENTS" sheetId="144" r:id="rId1"/>
    <sheet name="2.1" sheetId="165" r:id="rId2"/>
    <sheet name="2.2" sheetId="139" r:id="rId3"/>
    <sheet name="2.3" sheetId="168" r:id="rId4"/>
    <sheet name="2.4" sheetId="175" r:id="rId5"/>
    <sheet name="2.5" sheetId="176" r:id="rId6"/>
    <sheet name="2.6" sheetId="148" r:id="rId7"/>
    <sheet name="2.7" sheetId="178" r:id="rId8"/>
    <sheet name="Fig 2.1" sheetId="164" r:id="rId9"/>
    <sheet name="Fig 2.2" sheetId="174" r:id="rId10"/>
    <sheet name="Fig 2.3" sheetId="177" r:id="rId11"/>
    <sheet name="Fig 2.4" sheetId="141" r:id="rId12"/>
    <sheet name="Fig 2.5" sheetId="162" r:id="rId13"/>
    <sheet name="Fig 2.6" sheetId="155" r:id="rId14"/>
    <sheet name="Fig 2.7" sheetId="156" r:id="rId15"/>
    <sheet name="Fig 2.8" sheetId="157" r:id="rId16"/>
    <sheet name="Fig 2.9" sheetId="159" r:id="rId17"/>
    <sheet name="A2.1.1" sheetId="46" r:id="rId18"/>
    <sheet name="A2.1.1 continued" sheetId="73" r:id="rId19"/>
    <sheet name="A2.1.2" sheetId="172" r:id="rId20"/>
    <sheet name="A2.1.2 continued" sheetId="173" r:id="rId21"/>
    <sheet name="A2.1.3" sheetId="74" r:id="rId22"/>
    <sheet name="A2.1.4" sheetId="149" r:id="rId23"/>
    <sheet name="A2.1.5" sheetId="77" r:id="rId24"/>
    <sheet name="A2.1.6" sheetId="152" r:id="rId25"/>
    <sheet name="A2.2.1" sheetId="150" r:id="rId26"/>
    <sheet name="A2.3.1" sheetId="82" r:id="rId27"/>
    <sheet name="A2.3.1 continued" sheetId="83" r:id="rId28"/>
    <sheet name="A2.3.2" sheetId="143" r:id="rId29"/>
    <sheet name="A2.4.1" sheetId="91" r:id="rId30"/>
    <sheet name="A2.4.1 continued" sheetId="92" r:id="rId31"/>
    <sheet name="A2.5.1" sheetId="85" r:id="rId32"/>
    <sheet name="A2.5.2" sheetId="93" r:id="rId33"/>
    <sheet name="A2.5.2 continued" sheetId="122" r:id="rId34"/>
    <sheet name="A2.5.3" sheetId="97" r:id="rId35"/>
    <sheet name="A2.5.3 continued" sheetId="123" r:id="rId36"/>
    <sheet name="A2.5.4" sheetId="102" r:id="rId37"/>
    <sheet name="A2.5.4 continued" sheetId="124" r:id="rId38"/>
    <sheet name="A2.6.1" sheetId="89" r:id="rId39"/>
    <sheet name="A2.6.2" sheetId="105" r:id="rId40"/>
    <sheet name="A2.6.2 continued" sheetId="135" r:id="rId41"/>
    <sheet name="A2.6.3" sheetId="100" r:id="rId42"/>
    <sheet name="A2.6.3 continued" sheetId="133" r:id="rId43"/>
    <sheet name="A2.6.4" sheetId="137" r:id="rId44"/>
    <sheet name="A2.6.4 continued" sheetId="138" r:id="rId45"/>
    <sheet name="A2.7.1" sheetId="87" r:id="rId46"/>
    <sheet name="A2.7.2" sheetId="112" r:id="rId47"/>
    <sheet name="A2.7.2 continued" sheetId="125" r:id="rId48"/>
    <sheet name="A2.7.3" sheetId="118" r:id="rId49"/>
    <sheet name="A2.7.3 continued" sheetId="126" r:id="rId50"/>
    <sheet name="A2.7.4" sheetId="113" r:id="rId51"/>
    <sheet name="A2.7.4 continued" sheetId="127" r:id="rId52"/>
    <sheet name="A2.7.5" sheetId="114" r:id="rId53"/>
    <sheet name="A2.7.5 continued" sheetId="128" r:id="rId54"/>
    <sheet name="A2.7.6" sheetId="104" r:id="rId55"/>
    <sheet name="A2.7.6 continued" sheetId="129" r:id="rId56"/>
    <sheet name="A2.7.7" sheetId="110" r:id="rId57"/>
    <sheet name="A2.7.7 continued" sheetId="130" r:id="rId58"/>
    <sheet name="A2.7.8" sheetId="131" r:id="rId59"/>
    <sheet name="A2.7.8 continued" sheetId="132" r:id="rId60"/>
  </sheets>
  <definedNames>
    <definedName name="_AMO_XmlVersion" hidden="1">"'1'"</definedName>
    <definedName name="_xlnm._FilterDatabase" localSheetId="8" hidden="1">'Fig 2.1'!#REF!</definedName>
    <definedName name="_xlnm.Print_Area" localSheetId="1">'2.1'!$B$1:$I$14</definedName>
    <definedName name="_xlnm.Print_Area" localSheetId="2">'2.2'!$B$1:$J$15</definedName>
    <definedName name="_xlnm.Print_Area" localSheetId="3">'2.3'!$B$1:$I$26</definedName>
    <definedName name="_xlnm.Print_Area" localSheetId="4">'2.4'!$B$1:$H$12</definedName>
    <definedName name="_xlnm.Print_Area" localSheetId="5">'2.5'!$B$1:$I$7</definedName>
    <definedName name="_xlnm.Print_Area" localSheetId="6">'2.6'!$B$1:$G$20</definedName>
    <definedName name="_xlnm.Print_Area" localSheetId="7">'2.7'!$B$1:$H$16</definedName>
    <definedName name="_xlnm.Print_Area" localSheetId="17">A2.1.1!$A$1:$O$35</definedName>
    <definedName name="_xlnm.Print_Area" localSheetId="18">'A2.1.1 continued'!$A$1:$O$35</definedName>
    <definedName name="_xlnm.Print_Area" localSheetId="19">A2.1.2!$A$1:$O$35</definedName>
    <definedName name="_xlnm.Print_Area" localSheetId="20">'A2.1.2 continued'!$A$1:$O$35</definedName>
    <definedName name="_xlnm.Print_Area" localSheetId="21">A2.1.3!$A$1:$O$26</definedName>
    <definedName name="_xlnm.Print_Area" localSheetId="22">A2.1.4!$A$1:$O$22</definedName>
    <definedName name="_xlnm.Print_Area" localSheetId="23">A2.1.5!$A$1:$O$10</definedName>
    <definedName name="_xlnm.Print_Area" localSheetId="24">A2.1.6!$A$1:$O$29</definedName>
    <definedName name="_xlnm.Print_Area" localSheetId="25">A2.2.1!$A$1:$K$22</definedName>
    <definedName name="_xlnm.Print_Area" localSheetId="26">A2.3.1!$A$1:$O$39</definedName>
    <definedName name="_xlnm.Print_Area" localSheetId="27">'A2.3.1 continued'!$A$1:$O$38</definedName>
    <definedName name="_xlnm.Print_Area" localSheetId="28">A2.3.2!$A$1:$O$47</definedName>
    <definedName name="_xlnm.Print_Area" localSheetId="29">A2.4.1!$A$1:$O$47</definedName>
    <definedName name="_xlnm.Print_Area" localSheetId="30">'A2.4.1 continued'!$A$1:$O$37</definedName>
    <definedName name="_xlnm.Print_Area" localSheetId="31">A2.5.1!$A$1:$K$36</definedName>
    <definedName name="_xlnm.Print_Area" localSheetId="32">A2.5.2!$A$1:$K$29</definedName>
    <definedName name="_xlnm.Print_Area" localSheetId="33">'A2.5.2 continued'!$A$1:$K$29</definedName>
    <definedName name="_xlnm.Print_Area" localSheetId="34">A2.5.3!$A$1:$K$29</definedName>
    <definedName name="_xlnm.Print_Area" localSheetId="35">'A2.5.3 continued'!$A$1:$K$29</definedName>
    <definedName name="_xlnm.Print_Area" localSheetId="36">A2.5.4!$A$1:$K$30</definedName>
    <definedName name="_xlnm.Print_Area" localSheetId="37">'A2.5.4 continued'!$A$1:$K$29</definedName>
    <definedName name="_xlnm.Print_Area" localSheetId="38">A2.6.1!$A$1:$K$35</definedName>
    <definedName name="_xlnm.Print_Area" localSheetId="39">A2.6.2!$A$1:$K$30</definedName>
    <definedName name="_xlnm.Print_Area" localSheetId="40">'A2.6.2 continued'!$A$1:$K$29</definedName>
    <definedName name="_xlnm.Print_Area" localSheetId="41">A2.6.3!$A$1:$K$29</definedName>
    <definedName name="_xlnm.Print_Area" localSheetId="42">'A2.6.3 continued'!$A$1:$K$29</definedName>
    <definedName name="_xlnm.Print_Area" localSheetId="43">A2.6.4!$A$1:$K$29</definedName>
    <definedName name="_xlnm.Print_Area" localSheetId="44">'A2.6.4 continued'!$A$1:$K$29</definedName>
    <definedName name="_xlnm.Print_Area" localSheetId="45">A2.7.1!$A$1:$K$37</definedName>
    <definedName name="_xlnm.Print_Area" localSheetId="46">A2.7.2!$A$1:$K$29</definedName>
    <definedName name="_xlnm.Print_Area" localSheetId="47">'A2.7.2 continued'!$A$1:$K$29</definedName>
    <definedName name="_xlnm.Print_Area" localSheetId="48">A2.7.3!$A$1:$K$29</definedName>
    <definedName name="_xlnm.Print_Area" localSheetId="49">'A2.7.3 continued'!$A$1:$K$29</definedName>
    <definedName name="_xlnm.Print_Area" localSheetId="50">A2.7.4!$A$1:$K$29</definedName>
    <definedName name="_xlnm.Print_Area" localSheetId="51">'A2.7.4 continued'!$A$1:$K$29</definedName>
    <definedName name="_xlnm.Print_Area" localSheetId="52">A2.7.5!$A$1:$K$29</definedName>
    <definedName name="_xlnm.Print_Area" localSheetId="53">'A2.7.5 continued'!$A$1:$K$29</definedName>
    <definedName name="_xlnm.Print_Area" localSheetId="54">A2.7.6!$A$1:$K$29</definedName>
    <definedName name="_xlnm.Print_Area" localSheetId="55">'A2.7.6 continued'!$A$1:$K$29</definedName>
    <definedName name="_xlnm.Print_Area" localSheetId="56">A2.7.7!$A$1:$K$29</definedName>
    <definedName name="_xlnm.Print_Area" localSheetId="57">'A2.7.7 continued'!$A$1:$K$29</definedName>
    <definedName name="_xlnm.Print_Area" localSheetId="58">A2.7.8!$A$1:$K$29</definedName>
    <definedName name="_xlnm.Print_Area" localSheetId="59">'A2.7.8 continued'!$A$1:$K$29</definedName>
    <definedName name="_xlnm.Print_Area" localSheetId="8">'Fig 2.1'!$A$1:$I$21</definedName>
    <definedName name="_xlnm.Print_Area" localSheetId="9">'Fig 2.2'!$A$1:$H$21</definedName>
    <definedName name="_xlnm.Print_Area" localSheetId="10">'Fig 2.3'!$A$1:$G$21</definedName>
    <definedName name="_xlnm.Print_Area" localSheetId="11">'Fig 2.4'!$A$1:$G$21</definedName>
    <definedName name="_xlnm.Print_Area" localSheetId="12">'Fig 2.5'!$A$1:$I$22</definedName>
    <definedName name="_xlnm.Print_Area" localSheetId="13">'Fig 2.6'!$A$1:$G$21</definedName>
    <definedName name="_xlnm.Print_Area" localSheetId="14">'Fig 2.7'!$A$1:$H$21</definedName>
    <definedName name="_xlnm.Print_Area" localSheetId="15">'Fig 2.8'!$A$1:$H$21</definedName>
    <definedName name="_xlnm.Print_Area" localSheetId="16">'Fig 2.9'!$A$1:$H$21</definedName>
    <definedName name="SAPBEXsysID" hidden="1">"BWP"</definedName>
  </definedNames>
  <calcPr calcId="125725"/>
</workbook>
</file>

<file path=xl/calcChain.xml><?xml version="1.0" encoding="utf-8"?>
<calcChain xmlns="http://schemas.openxmlformats.org/spreadsheetml/2006/main">
  <c r="E27" i="174"/>
  <c r="B9" i="144" l="1"/>
  <c r="B57" l="1"/>
  <c r="B56"/>
  <c r="B55"/>
  <c r="B54"/>
  <c r="B53"/>
  <c r="B52"/>
  <c r="B51"/>
  <c r="B50"/>
  <c r="B46"/>
  <c r="B49"/>
  <c r="B48"/>
  <c r="B47"/>
  <c r="B45"/>
  <c r="B44"/>
  <c r="B43"/>
  <c r="B42"/>
  <c r="B41"/>
  <c r="B40"/>
  <c r="B39"/>
  <c r="B38"/>
  <c r="B37"/>
  <c r="B35"/>
  <c r="B36"/>
  <c r="B34"/>
  <c r="B33"/>
  <c r="B32"/>
  <c r="B31"/>
  <c r="B30"/>
  <c r="B29"/>
  <c r="B28"/>
  <c r="B27"/>
  <c r="B26"/>
  <c r="B24"/>
  <c r="B25"/>
  <c r="B23"/>
  <c r="B21"/>
  <c r="B22"/>
  <c r="B19"/>
  <c r="B18"/>
  <c r="B17"/>
  <c r="B16"/>
  <c r="B15"/>
  <c r="B14"/>
  <c r="B13"/>
  <c r="B12"/>
  <c r="B11"/>
  <c r="B8"/>
  <c r="B7"/>
  <c r="B6"/>
  <c r="B5"/>
  <c r="B4"/>
  <c r="B3"/>
  <c r="K29" i="102" l="1"/>
  <c r="J29"/>
  <c r="I29"/>
  <c r="H29"/>
  <c r="G29"/>
  <c r="F29"/>
  <c r="E29"/>
  <c r="D29"/>
  <c r="K29" i="105"/>
  <c r="J29"/>
  <c r="I29"/>
  <c r="H29"/>
  <c r="G29"/>
  <c r="F29"/>
  <c r="E29"/>
  <c r="D29"/>
  <c r="K29" i="131" l="1"/>
  <c r="J29"/>
  <c r="I29"/>
  <c r="H29"/>
  <c r="G29"/>
  <c r="F29"/>
  <c r="E29"/>
  <c r="D29"/>
  <c r="D56" i="162" l="1"/>
  <c r="D57"/>
  <c r="E57"/>
  <c r="F57"/>
  <c r="D61"/>
  <c r="E61"/>
  <c r="F61"/>
  <c r="E34" i="155"/>
  <c r="E31"/>
  <c r="C27" i="175" l="1"/>
  <c r="C26"/>
  <c r="C25"/>
  <c r="G24"/>
  <c r="F24"/>
  <c r="C24"/>
  <c r="D8"/>
  <c r="D7"/>
  <c r="D6"/>
  <c r="F25"/>
  <c r="D5"/>
  <c r="H4"/>
  <c r="D4"/>
  <c r="O34" i="172"/>
  <c r="E8" i="178" s="1"/>
  <c r="N34" i="172"/>
  <c r="G8" i="178" s="1"/>
  <c r="M34" i="172"/>
  <c r="D8" i="178" s="1"/>
  <c r="L34" i="172"/>
  <c r="K34"/>
  <c r="J34"/>
  <c r="I34"/>
  <c r="H34"/>
  <c r="G34"/>
  <c r="F34"/>
  <c r="E34"/>
  <c r="D34"/>
  <c r="O33"/>
  <c r="E7" i="178" s="1"/>
  <c r="N33" i="172"/>
  <c r="G7" i="178" s="1"/>
  <c r="M33" i="172"/>
  <c r="D7" i="178" s="1"/>
  <c r="L33" i="172"/>
  <c r="K33"/>
  <c r="J33"/>
  <c r="I33"/>
  <c r="H33"/>
  <c r="G33"/>
  <c r="F33"/>
  <c r="E33"/>
  <c r="D33"/>
  <c r="O32"/>
  <c r="E6" i="178" s="1"/>
  <c r="N32" i="172"/>
  <c r="G6" i="178" s="1"/>
  <c r="M32" i="172"/>
  <c r="D6" i="178" s="1"/>
  <c r="L32" i="172"/>
  <c r="K32"/>
  <c r="J32"/>
  <c r="I32"/>
  <c r="H32"/>
  <c r="G32"/>
  <c r="F32"/>
  <c r="E32"/>
  <c r="D32"/>
  <c r="O31"/>
  <c r="E5" i="178" s="1"/>
  <c r="N31" i="172"/>
  <c r="G5" i="178" s="1"/>
  <c r="M31" i="172"/>
  <c r="D5" i="178" s="1"/>
  <c r="L31" i="172"/>
  <c r="K31"/>
  <c r="J31"/>
  <c r="I31"/>
  <c r="H31"/>
  <c r="G31"/>
  <c r="F31"/>
  <c r="E31"/>
  <c r="D31"/>
  <c r="O30"/>
  <c r="E4" i="178" s="1"/>
  <c r="E9" s="1"/>
  <c r="N30" i="172"/>
  <c r="M30"/>
  <c r="L30"/>
  <c r="K30"/>
  <c r="K35" s="1"/>
  <c r="J30"/>
  <c r="J35" s="1"/>
  <c r="I30"/>
  <c r="H30"/>
  <c r="H35" s="1"/>
  <c r="G30"/>
  <c r="G35" s="1"/>
  <c r="F30"/>
  <c r="E30"/>
  <c r="E35" s="1"/>
  <c r="D30"/>
  <c r="D35" s="1"/>
  <c r="D12" i="178" l="1"/>
  <c r="D13"/>
  <c r="D14"/>
  <c r="D15"/>
  <c r="F5"/>
  <c r="E12" s="1"/>
  <c r="G12" s="1"/>
  <c r="F6"/>
  <c r="E13" s="1"/>
  <c r="F8"/>
  <c r="E15" s="1"/>
  <c r="F7"/>
  <c r="E14" s="1"/>
  <c r="M35" i="172"/>
  <c r="D4" i="178"/>
  <c r="D9" s="1"/>
  <c r="N35" i="172"/>
  <c r="G4" i="178"/>
  <c r="G9" s="1"/>
  <c r="F47" i="172"/>
  <c r="L47"/>
  <c r="F48"/>
  <c r="L48"/>
  <c r="F49"/>
  <c r="L49"/>
  <c r="F50"/>
  <c r="L50"/>
  <c r="F35"/>
  <c r="F51" s="1"/>
  <c r="F46"/>
  <c r="L35"/>
  <c r="L51" s="1"/>
  <c r="L46"/>
  <c r="I35"/>
  <c r="I51" s="1"/>
  <c r="I46"/>
  <c r="O35"/>
  <c r="O51" s="1"/>
  <c r="O46"/>
  <c r="I47"/>
  <c r="O47"/>
  <c r="I48"/>
  <c r="O48"/>
  <c r="I49"/>
  <c r="O49"/>
  <c r="I50"/>
  <c r="O50"/>
  <c r="F21" i="175"/>
  <c r="F23"/>
  <c r="F27"/>
  <c r="F26"/>
  <c r="F20"/>
  <c r="F22"/>
  <c r="H41" i="172"/>
  <c r="E41"/>
  <c r="K41"/>
  <c r="E29"/>
  <c r="E31" i="173" s="1"/>
  <c r="G29" i="172"/>
  <c r="G31" i="173" s="1"/>
  <c r="I29" i="172"/>
  <c r="I4" i="173" s="1"/>
  <c r="K29" i="172"/>
  <c r="K4" i="173" s="1"/>
  <c r="M29" i="172"/>
  <c r="M31" i="173" s="1"/>
  <c r="O29" i="172"/>
  <c r="O4" i="173" s="1"/>
  <c r="D29" i="172"/>
  <c r="D32" i="173" s="1"/>
  <c r="F29" i="172"/>
  <c r="F30" i="173" s="1"/>
  <c r="H29" i="172"/>
  <c r="H4" i="173" s="1"/>
  <c r="J29" i="172"/>
  <c r="J32" i="173" s="1"/>
  <c r="L29" i="172"/>
  <c r="L4" i="173" s="1"/>
  <c r="N29" i="172"/>
  <c r="N31" i="173" s="1"/>
  <c r="G13" i="178" l="1"/>
  <c r="L41" i="172"/>
  <c r="L42" s="1"/>
  <c r="G14" i="178"/>
  <c r="O41" i="172"/>
  <c r="N41"/>
  <c r="O42" s="1"/>
  <c r="G15" i="178"/>
  <c r="F12"/>
  <c r="F15"/>
  <c r="I41" i="172"/>
  <c r="I42" s="1"/>
  <c r="F13" i="178"/>
  <c r="F14"/>
  <c r="D11"/>
  <c r="D16"/>
  <c r="F4"/>
  <c r="F41" i="172"/>
  <c r="F42" s="1"/>
  <c r="I34" i="173"/>
  <c r="I33"/>
  <c r="I32"/>
  <c r="I31"/>
  <c r="M30"/>
  <c r="I30"/>
  <c r="E30"/>
  <c r="F34"/>
  <c r="F33"/>
  <c r="F32"/>
  <c r="F31"/>
  <c r="L30"/>
  <c r="H30"/>
  <c r="D30"/>
  <c r="M28"/>
  <c r="I28"/>
  <c r="E28"/>
  <c r="M27"/>
  <c r="I27"/>
  <c r="E27"/>
  <c r="M26"/>
  <c r="I26"/>
  <c r="E26"/>
  <c r="M25"/>
  <c r="I25"/>
  <c r="E25"/>
  <c r="M24"/>
  <c r="I24"/>
  <c r="E24"/>
  <c r="M23"/>
  <c r="I23"/>
  <c r="E23"/>
  <c r="M22"/>
  <c r="I22"/>
  <c r="E22"/>
  <c r="M21"/>
  <c r="I21"/>
  <c r="E21"/>
  <c r="M20"/>
  <c r="I20"/>
  <c r="E20"/>
  <c r="M19"/>
  <c r="I19"/>
  <c r="E19"/>
  <c r="M18"/>
  <c r="I18"/>
  <c r="E18"/>
  <c r="M17"/>
  <c r="I17"/>
  <c r="E17"/>
  <c r="M16"/>
  <c r="I16"/>
  <c r="E16"/>
  <c r="M15"/>
  <c r="I15"/>
  <c r="E15"/>
  <c r="M14"/>
  <c r="I14"/>
  <c r="E14"/>
  <c r="M13"/>
  <c r="I13"/>
  <c r="E13"/>
  <c r="M12"/>
  <c r="I12"/>
  <c r="E12"/>
  <c r="M11"/>
  <c r="I11"/>
  <c r="E11"/>
  <c r="M10"/>
  <c r="I10"/>
  <c r="E10"/>
  <c r="M9"/>
  <c r="I9"/>
  <c r="E9"/>
  <c r="M8"/>
  <c r="I8"/>
  <c r="E8"/>
  <c r="M7"/>
  <c r="I7"/>
  <c r="E7"/>
  <c r="M6"/>
  <c r="I6"/>
  <c r="E6"/>
  <c r="M5"/>
  <c r="I5"/>
  <c r="E5"/>
  <c r="M4"/>
  <c r="E4"/>
  <c r="K34"/>
  <c r="E34"/>
  <c r="K33"/>
  <c r="E33"/>
  <c r="K32"/>
  <c r="E32"/>
  <c r="K31"/>
  <c r="H31"/>
  <c r="N28"/>
  <c r="J28"/>
  <c r="F28"/>
  <c r="N27"/>
  <c r="J27"/>
  <c r="F27"/>
  <c r="N26"/>
  <c r="J26"/>
  <c r="F26"/>
  <c r="N25"/>
  <c r="J25"/>
  <c r="F25"/>
  <c r="N24"/>
  <c r="J24"/>
  <c r="F24"/>
  <c r="N23"/>
  <c r="J23"/>
  <c r="F23"/>
  <c r="N22"/>
  <c r="J22"/>
  <c r="F22"/>
  <c r="N21"/>
  <c r="J21"/>
  <c r="F21"/>
  <c r="N20"/>
  <c r="J20"/>
  <c r="F20"/>
  <c r="N19"/>
  <c r="J19"/>
  <c r="F19"/>
  <c r="N18"/>
  <c r="J18"/>
  <c r="F18"/>
  <c r="N17"/>
  <c r="J17"/>
  <c r="F17"/>
  <c r="N16"/>
  <c r="J16"/>
  <c r="F16"/>
  <c r="N15"/>
  <c r="J15"/>
  <c r="F15"/>
  <c r="N14"/>
  <c r="J14"/>
  <c r="F14"/>
  <c r="N13"/>
  <c r="J13"/>
  <c r="F13"/>
  <c r="N12"/>
  <c r="J12"/>
  <c r="F12"/>
  <c r="N11"/>
  <c r="J11"/>
  <c r="F11"/>
  <c r="N10"/>
  <c r="J10"/>
  <c r="F10"/>
  <c r="N9"/>
  <c r="J9"/>
  <c r="F9"/>
  <c r="N8"/>
  <c r="J8"/>
  <c r="F8"/>
  <c r="N7"/>
  <c r="J7"/>
  <c r="F7"/>
  <c r="N6"/>
  <c r="J6"/>
  <c r="F6"/>
  <c r="N5"/>
  <c r="J5"/>
  <c r="F5"/>
  <c r="N4"/>
  <c r="J4"/>
  <c r="F4"/>
  <c r="N34"/>
  <c r="H34"/>
  <c r="N33"/>
  <c r="H33"/>
  <c r="N32"/>
  <c r="H32"/>
  <c r="J31"/>
  <c r="K44" i="172"/>
  <c r="H44"/>
  <c r="O34" i="173"/>
  <c r="O33"/>
  <c r="O32"/>
  <c r="O31"/>
  <c r="O30"/>
  <c r="K30"/>
  <c r="G30"/>
  <c r="L34"/>
  <c r="L33"/>
  <c r="L32"/>
  <c r="L31"/>
  <c r="N30"/>
  <c r="J30"/>
  <c r="O28"/>
  <c r="K28"/>
  <c r="G28"/>
  <c r="O27"/>
  <c r="K27"/>
  <c r="G27"/>
  <c r="O26"/>
  <c r="K26"/>
  <c r="G26"/>
  <c r="O25"/>
  <c r="K25"/>
  <c r="G25"/>
  <c r="O24"/>
  <c r="K24"/>
  <c r="G24"/>
  <c r="O23"/>
  <c r="K23"/>
  <c r="G23"/>
  <c r="O22"/>
  <c r="K22"/>
  <c r="G22"/>
  <c r="O21"/>
  <c r="K21"/>
  <c r="G21"/>
  <c r="O20"/>
  <c r="K20"/>
  <c r="G20"/>
  <c r="O19"/>
  <c r="K19"/>
  <c r="G19"/>
  <c r="O18"/>
  <c r="K18"/>
  <c r="G18"/>
  <c r="O17"/>
  <c r="K17"/>
  <c r="G17"/>
  <c r="O16"/>
  <c r="K16"/>
  <c r="G16"/>
  <c r="O15"/>
  <c r="K15"/>
  <c r="G15"/>
  <c r="O14"/>
  <c r="K14"/>
  <c r="G14"/>
  <c r="O13"/>
  <c r="K13"/>
  <c r="G13"/>
  <c r="O12"/>
  <c r="K12"/>
  <c r="G12"/>
  <c r="O11"/>
  <c r="K11"/>
  <c r="G11"/>
  <c r="O10"/>
  <c r="K10"/>
  <c r="G10"/>
  <c r="O9"/>
  <c r="K9"/>
  <c r="G9"/>
  <c r="O8"/>
  <c r="K8"/>
  <c r="G8"/>
  <c r="O7"/>
  <c r="K7"/>
  <c r="G7"/>
  <c r="O6"/>
  <c r="K6"/>
  <c r="G6"/>
  <c r="O5"/>
  <c r="K5"/>
  <c r="G5"/>
  <c r="G4"/>
  <c r="M34"/>
  <c r="G34"/>
  <c r="M33"/>
  <c r="G33"/>
  <c r="M32"/>
  <c r="G32"/>
  <c r="D31"/>
  <c r="L28"/>
  <c r="H28"/>
  <c r="D28"/>
  <c r="L27"/>
  <c r="H27"/>
  <c r="D27"/>
  <c r="L26"/>
  <c r="H26"/>
  <c r="D26"/>
  <c r="L25"/>
  <c r="H25"/>
  <c r="D25"/>
  <c r="L24"/>
  <c r="H24"/>
  <c r="D24"/>
  <c r="L23"/>
  <c r="H23"/>
  <c r="D23"/>
  <c r="L22"/>
  <c r="H22"/>
  <c r="D22"/>
  <c r="L21"/>
  <c r="H21"/>
  <c r="D21"/>
  <c r="L20"/>
  <c r="H20"/>
  <c r="D20"/>
  <c r="L19"/>
  <c r="H19"/>
  <c r="D19"/>
  <c r="L18"/>
  <c r="H18"/>
  <c r="D18"/>
  <c r="L17"/>
  <c r="H17"/>
  <c r="D17"/>
  <c r="L16"/>
  <c r="H16"/>
  <c r="D16"/>
  <c r="L15"/>
  <c r="H15"/>
  <c r="D15"/>
  <c r="L14"/>
  <c r="H14"/>
  <c r="D14"/>
  <c r="L13"/>
  <c r="H13"/>
  <c r="D13"/>
  <c r="L12"/>
  <c r="H12"/>
  <c r="D12"/>
  <c r="L11"/>
  <c r="H11"/>
  <c r="D11"/>
  <c r="L10"/>
  <c r="H10"/>
  <c r="D10"/>
  <c r="L9"/>
  <c r="H9"/>
  <c r="D9"/>
  <c r="L8"/>
  <c r="H8"/>
  <c r="D8"/>
  <c r="L7"/>
  <c r="H7"/>
  <c r="D7"/>
  <c r="L6"/>
  <c r="H6"/>
  <c r="D6"/>
  <c r="L5"/>
  <c r="H5"/>
  <c r="D5"/>
  <c r="D4"/>
  <c r="J34"/>
  <c r="D34"/>
  <c r="J33"/>
  <c r="D33"/>
  <c r="O44" i="172"/>
  <c r="L44" l="1"/>
  <c r="N44"/>
  <c r="I44"/>
  <c r="E11" i="178"/>
  <c r="G11" s="1"/>
  <c r="F9"/>
  <c r="E16" s="1"/>
  <c r="L29" i="173"/>
  <c r="O29"/>
  <c r="D29"/>
  <c r="H29"/>
  <c r="L40"/>
  <c r="L42"/>
  <c r="G29"/>
  <c r="K29"/>
  <c r="F29"/>
  <c r="N29"/>
  <c r="M29"/>
  <c r="I29"/>
  <c r="J41"/>
  <c r="J29"/>
  <c r="K40"/>
  <c r="K42"/>
  <c r="J40"/>
  <c r="J39"/>
  <c r="J42"/>
  <c r="E29"/>
  <c r="L41"/>
  <c r="K41"/>
  <c r="K37" i="82"/>
  <c r="K38" s="1"/>
  <c r="J37"/>
  <c r="L37"/>
  <c r="I37"/>
  <c r="G37"/>
  <c r="H38"/>
  <c r="F37"/>
  <c r="D37"/>
  <c r="F11" i="178" l="1"/>
  <c r="G16"/>
  <c r="F16"/>
  <c r="L38" i="82"/>
  <c r="G38"/>
  <c r="F38"/>
  <c r="I38"/>
  <c r="J38"/>
  <c r="O37" l="1"/>
  <c r="M37"/>
  <c r="N37"/>
  <c r="D35" i="156" l="1"/>
  <c r="D32"/>
  <c r="D34"/>
  <c r="D31"/>
  <c r="D29"/>
  <c r="D33"/>
  <c r="D30"/>
  <c r="E30" i="155" l="1"/>
  <c r="E32"/>
  <c r="E33"/>
  <c r="E28"/>
  <c r="E29" l="1"/>
  <c r="F37" i="177"/>
  <c r="E37"/>
  <c r="D37"/>
  <c r="C37"/>
  <c r="F36"/>
  <c r="E36"/>
  <c r="D36"/>
  <c r="C36"/>
  <c r="F35"/>
  <c r="E35"/>
  <c r="D35"/>
  <c r="C35"/>
  <c r="F34"/>
  <c r="E34"/>
  <c r="D34"/>
  <c r="C34"/>
  <c r="F33"/>
  <c r="E33"/>
  <c r="D33"/>
  <c r="C33"/>
  <c r="F32"/>
  <c r="E32"/>
  <c r="D32"/>
  <c r="C32"/>
  <c r="F30"/>
  <c r="E30"/>
  <c r="D30"/>
  <c r="C30"/>
  <c r="F29"/>
  <c r="E29"/>
  <c r="D29"/>
  <c r="C29"/>
  <c r="D58" i="162"/>
  <c r="F58"/>
  <c r="E58"/>
  <c r="D53"/>
  <c r="D52"/>
  <c r="D51"/>
  <c r="D50"/>
  <c r="D49"/>
  <c r="D48"/>
  <c r="D47"/>
  <c r="D46"/>
  <c r="D45"/>
  <c r="D44"/>
  <c r="D43"/>
  <c r="D42"/>
  <c r="D41"/>
  <c r="D40"/>
  <c r="D39"/>
  <c r="D38"/>
  <c r="D37"/>
  <c r="D36"/>
  <c r="D35"/>
  <c r="D34"/>
  <c r="D33"/>
  <c r="D32"/>
  <c r="D31"/>
  <c r="D30"/>
  <c r="D29"/>
  <c r="G58" l="1"/>
  <c r="H58"/>
  <c r="I58" s="1"/>
  <c r="D32" i="159"/>
  <c r="D29"/>
  <c r="D33"/>
  <c r="D28"/>
  <c r="D31"/>
  <c r="D30"/>
  <c r="D29" i="157"/>
  <c r="D30"/>
  <c r="D28"/>
  <c r="E48" i="164" l="1"/>
  <c r="I39" i="152" l="1"/>
  <c r="H39" s="1"/>
  <c r="L39" l="1"/>
  <c r="K39" s="1"/>
  <c r="O39"/>
  <c r="N39" l="1"/>
  <c r="E29" i="162" s="1"/>
  <c r="F29"/>
  <c r="I8" i="165"/>
  <c r="G14" s="1"/>
  <c r="H8"/>
  <c r="F8"/>
  <c r="D8"/>
  <c r="K17" i="85"/>
  <c r="I17"/>
  <c r="H17"/>
  <c r="G17"/>
  <c r="E17"/>
  <c r="J17"/>
  <c r="G31" i="164"/>
  <c r="H31" s="1"/>
  <c r="D36" i="168"/>
  <c r="J81"/>
  <c r="J80"/>
  <c r="H75"/>
  <c r="B72"/>
  <c r="J72" s="1"/>
  <c r="B71"/>
  <c r="J71" s="1"/>
  <c r="B70"/>
  <c r="J70" s="1"/>
  <c r="B69"/>
  <c r="J69" s="1"/>
  <c r="F68"/>
  <c r="B68"/>
  <c r="J68" s="1"/>
  <c r="H56"/>
  <c r="H55"/>
  <c r="E14" i="165" l="1"/>
  <c r="I14"/>
  <c r="C14"/>
  <c r="I31" i="164"/>
  <c r="J31" s="1"/>
  <c r="F69" i="168"/>
  <c r="F70" s="1"/>
  <c r="F71" s="1"/>
  <c r="F72" s="1"/>
  <c r="H34" l="1"/>
  <c r="E13" i="150" l="1"/>
  <c r="G13"/>
  <c r="H13"/>
  <c r="I13"/>
  <c r="J13"/>
  <c r="K13"/>
  <c r="K25" s="1"/>
  <c r="K27" s="1"/>
  <c r="K21"/>
  <c r="E36" i="155" s="1"/>
  <c r="I21" i="150"/>
  <c r="G21"/>
  <c r="E21"/>
  <c r="O43" i="143"/>
  <c r="N43"/>
  <c r="M43"/>
  <c r="L43"/>
  <c r="K43"/>
  <c r="J43"/>
  <c r="I43"/>
  <c r="H43"/>
  <c r="G43"/>
  <c r="F43"/>
  <c r="E43"/>
  <c r="O42"/>
  <c r="N42"/>
  <c r="M42"/>
  <c r="L42"/>
  <c r="K42"/>
  <c r="J42"/>
  <c r="I42"/>
  <c r="H42"/>
  <c r="G42"/>
  <c r="F42"/>
  <c r="E42"/>
  <c r="O41"/>
  <c r="N41"/>
  <c r="M41"/>
  <c r="L41"/>
  <c r="K41"/>
  <c r="J41"/>
  <c r="I41"/>
  <c r="H41"/>
  <c r="G41"/>
  <c r="F41"/>
  <c r="E41"/>
  <c r="O40"/>
  <c r="N40"/>
  <c r="M40"/>
  <c r="L40"/>
  <c r="K40"/>
  <c r="J40"/>
  <c r="I40"/>
  <c r="H40"/>
  <c r="G40"/>
  <c r="F40"/>
  <c r="E40"/>
  <c r="O39"/>
  <c r="N39"/>
  <c r="M39"/>
  <c r="L39"/>
  <c r="K39"/>
  <c r="J39"/>
  <c r="I39"/>
  <c r="H39"/>
  <c r="G39"/>
  <c r="F39"/>
  <c r="E39"/>
  <c r="O37"/>
  <c r="N37"/>
  <c r="M37"/>
  <c r="L37"/>
  <c r="K37"/>
  <c r="J37"/>
  <c r="I37"/>
  <c r="H37"/>
  <c r="G37"/>
  <c r="F37"/>
  <c r="E37"/>
  <c r="O36"/>
  <c r="N36"/>
  <c r="M36"/>
  <c r="L36"/>
  <c r="K36"/>
  <c r="J36"/>
  <c r="I36"/>
  <c r="H36"/>
  <c r="G36"/>
  <c r="F36"/>
  <c r="E36"/>
  <c r="O35"/>
  <c r="N35"/>
  <c r="M35"/>
  <c r="L35"/>
  <c r="K35"/>
  <c r="J35"/>
  <c r="I35"/>
  <c r="H35"/>
  <c r="G35"/>
  <c r="F35"/>
  <c r="E35"/>
  <c r="O34"/>
  <c r="N34"/>
  <c r="M34"/>
  <c r="L34"/>
  <c r="K34"/>
  <c r="J34"/>
  <c r="I34"/>
  <c r="H34"/>
  <c r="G34"/>
  <c r="F34"/>
  <c r="E34"/>
  <c r="O33"/>
  <c r="N33"/>
  <c r="M33"/>
  <c r="L33"/>
  <c r="K33"/>
  <c r="J33"/>
  <c r="I33"/>
  <c r="H33"/>
  <c r="G33"/>
  <c r="F33"/>
  <c r="E33"/>
  <c r="O31"/>
  <c r="N31"/>
  <c r="M31"/>
  <c r="L31"/>
  <c r="K31"/>
  <c r="J31"/>
  <c r="I31"/>
  <c r="H31"/>
  <c r="G31"/>
  <c r="F31"/>
  <c r="E31"/>
  <c r="O30"/>
  <c r="N30"/>
  <c r="M30"/>
  <c r="L30"/>
  <c r="K30"/>
  <c r="J30"/>
  <c r="I30"/>
  <c r="H30"/>
  <c r="G30"/>
  <c r="F30"/>
  <c r="E30"/>
  <c r="O29"/>
  <c r="N29"/>
  <c r="M29"/>
  <c r="L29"/>
  <c r="K29"/>
  <c r="J29"/>
  <c r="I29"/>
  <c r="H29"/>
  <c r="G29"/>
  <c r="F29"/>
  <c r="E29"/>
  <c r="O28"/>
  <c r="N28"/>
  <c r="M28"/>
  <c r="L28"/>
  <c r="K28"/>
  <c r="J28"/>
  <c r="I28"/>
  <c r="H28"/>
  <c r="G28"/>
  <c r="F28"/>
  <c r="E28"/>
  <c r="O27"/>
  <c r="N27"/>
  <c r="M27"/>
  <c r="L27"/>
  <c r="K27"/>
  <c r="J27"/>
  <c r="I27"/>
  <c r="H27"/>
  <c r="G27"/>
  <c r="F27"/>
  <c r="E27"/>
  <c r="O24"/>
  <c r="N24"/>
  <c r="M24"/>
  <c r="L24"/>
  <c r="K24"/>
  <c r="J24"/>
  <c r="I24"/>
  <c r="H24"/>
  <c r="G24"/>
  <c r="F24"/>
  <c r="E24"/>
  <c r="O23"/>
  <c r="N23"/>
  <c r="M23"/>
  <c r="L23"/>
  <c r="K23"/>
  <c r="J23"/>
  <c r="I23"/>
  <c r="H23"/>
  <c r="G23"/>
  <c r="F23"/>
  <c r="E23"/>
  <c r="O22"/>
  <c r="N22"/>
  <c r="M22"/>
  <c r="L22"/>
  <c r="K22"/>
  <c r="J22"/>
  <c r="I22"/>
  <c r="H22"/>
  <c r="G22"/>
  <c r="F22"/>
  <c r="E22"/>
  <c r="O21"/>
  <c r="N21"/>
  <c r="M21"/>
  <c r="L21"/>
  <c r="K21"/>
  <c r="J21"/>
  <c r="I21"/>
  <c r="H21"/>
  <c r="G21"/>
  <c r="F21"/>
  <c r="E21"/>
  <c r="O20"/>
  <c r="N20"/>
  <c r="M20"/>
  <c r="L20"/>
  <c r="K20"/>
  <c r="J20"/>
  <c r="I20"/>
  <c r="H20"/>
  <c r="G20"/>
  <c r="F20"/>
  <c r="E20"/>
  <c r="O19"/>
  <c r="N19"/>
  <c r="M19"/>
  <c r="L19"/>
  <c r="K19"/>
  <c r="J19"/>
  <c r="I19"/>
  <c r="H19"/>
  <c r="G19"/>
  <c r="F19"/>
  <c r="E19"/>
  <c r="O18"/>
  <c r="N18"/>
  <c r="M18"/>
  <c r="L18"/>
  <c r="K18"/>
  <c r="J18"/>
  <c r="I18"/>
  <c r="H18"/>
  <c r="G18"/>
  <c r="F18"/>
  <c r="E18"/>
  <c r="O17"/>
  <c r="N17"/>
  <c r="M17"/>
  <c r="L17"/>
  <c r="K17"/>
  <c r="J17"/>
  <c r="I17"/>
  <c r="H17"/>
  <c r="G17"/>
  <c r="F17"/>
  <c r="E17"/>
  <c r="O16"/>
  <c r="N16"/>
  <c r="M16"/>
  <c r="L16"/>
  <c r="K16"/>
  <c r="J16"/>
  <c r="I16"/>
  <c r="H16"/>
  <c r="G16"/>
  <c r="F16"/>
  <c r="E16"/>
  <c r="O15"/>
  <c r="N15"/>
  <c r="M15"/>
  <c r="L15"/>
  <c r="K15"/>
  <c r="J15"/>
  <c r="I15"/>
  <c r="H15"/>
  <c r="G15"/>
  <c r="F15"/>
  <c r="E15"/>
  <c r="O14"/>
  <c r="N14"/>
  <c r="M14"/>
  <c r="L14"/>
  <c r="K14"/>
  <c r="J14"/>
  <c r="I14"/>
  <c r="H14"/>
  <c r="G14"/>
  <c r="F14"/>
  <c r="E14"/>
  <c r="O13"/>
  <c r="N13"/>
  <c r="M13"/>
  <c r="L13"/>
  <c r="K13"/>
  <c r="J13"/>
  <c r="I13"/>
  <c r="H13"/>
  <c r="G13"/>
  <c r="F13"/>
  <c r="E13"/>
  <c r="O12"/>
  <c r="N12"/>
  <c r="M12"/>
  <c r="L12"/>
  <c r="K12"/>
  <c r="J12"/>
  <c r="I12"/>
  <c r="H12"/>
  <c r="G12"/>
  <c r="F12"/>
  <c r="E12"/>
  <c r="O11"/>
  <c r="N11"/>
  <c r="M11"/>
  <c r="L11"/>
  <c r="K11"/>
  <c r="J11"/>
  <c r="I11"/>
  <c r="H11"/>
  <c r="G11"/>
  <c r="F11"/>
  <c r="E11"/>
  <c r="O9"/>
  <c r="N9"/>
  <c r="M9"/>
  <c r="L9"/>
  <c r="K9"/>
  <c r="J9"/>
  <c r="I9"/>
  <c r="H9"/>
  <c r="G9"/>
  <c r="F9"/>
  <c r="E9"/>
  <c r="O8"/>
  <c r="N8"/>
  <c r="M8"/>
  <c r="L8"/>
  <c r="K8"/>
  <c r="J8"/>
  <c r="I8"/>
  <c r="H8"/>
  <c r="G8"/>
  <c r="F8"/>
  <c r="E8"/>
  <c r="O6"/>
  <c r="N6"/>
  <c r="M6"/>
  <c r="L6"/>
  <c r="K6"/>
  <c r="J6"/>
  <c r="I6"/>
  <c r="H6"/>
  <c r="G6"/>
  <c r="F6"/>
  <c r="E6"/>
  <c r="O5"/>
  <c r="N5"/>
  <c r="M5"/>
  <c r="L5"/>
  <c r="K5"/>
  <c r="J5"/>
  <c r="I5"/>
  <c r="H5"/>
  <c r="G5"/>
  <c r="F5"/>
  <c r="E5"/>
  <c r="N38" i="82"/>
  <c r="E38"/>
  <c r="F34" i="141"/>
  <c r="E34"/>
  <c r="D34"/>
  <c r="C34"/>
  <c r="H7" i="165"/>
  <c r="I7"/>
  <c r="D7"/>
  <c r="H6"/>
  <c r="I6"/>
  <c r="D6"/>
  <c r="H5"/>
  <c r="I5"/>
  <c r="D5"/>
  <c r="I4"/>
  <c r="N38" i="143" l="1"/>
  <c r="L10"/>
  <c r="N32"/>
  <c r="H10"/>
  <c r="F32"/>
  <c r="H32"/>
  <c r="J32"/>
  <c r="L32"/>
  <c r="F38"/>
  <c r="H38"/>
  <c r="J38"/>
  <c r="L38"/>
  <c r="N26"/>
  <c r="E10"/>
  <c r="G10"/>
  <c r="I10"/>
  <c r="K10"/>
  <c r="M10"/>
  <c r="O10"/>
  <c r="F26"/>
  <c r="H26"/>
  <c r="J26"/>
  <c r="L26"/>
  <c r="F10"/>
  <c r="J10"/>
  <c r="N10"/>
  <c r="E44"/>
  <c r="K44"/>
  <c r="H44"/>
  <c r="N44"/>
  <c r="E26"/>
  <c r="G26"/>
  <c r="I26"/>
  <c r="K26"/>
  <c r="M26"/>
  <c r="O26"/>
  <c r="E32"/>
  <c r="G32"/>
  <c r="I32"/>
  <c r="K32"/>
  <c r="M32"/>
  <c r="O32"/>
  <c r="E38"/>
  <c r="G38"/>
  <c r="I38"/>
  <c r="K38"/>
  <c r="M38"/>
  <c r="O38"/>
  <c r="H38" i="83"/>
  <c r="H33"/>
  <c r="H32"/>
  <c r="H5"/>
  <c r="H4"/>
  <c r="N38"/>
  <c r="N21"/>
  <c r="N4"/>
  <c r="N28"/>
  <c r="N23"/>
  <c r="N19"/>
  <c r="N15"/>
  <c r="N11"/>
  <c r="N9"/>
  <c r="N34"/>
  <c r="N32"/>
  <c r="N30"/>
  <c r="N25"/>
  <c r="N17"/>
  <c r="N13"/>
  <c r="N10"/>
  <c r="N7"/>
  <c r="H7"/>
  <c r="H9"/>
  <c r="H13"/>
  <c r="H15"/>
  <c r="H17"/>
  <c r="H19"/>
  <c r="N5"/>
  <c r="N6"/>
  <c r="N8"/>
  <c r="N12"/>
  <c r="N14"/>
  <c r="N16"/>
  <c r="N18"/>
  <c r="N20"/>
  <c r="N22"/>
  <c r="N24"/>
  <c r="N26"/>
  <c r="N27"/>
  <c r="N29"/>
  <c r="H6"/>
  <c r="H8"/>
  <c r="H10"/>
  <c r="H11"/>
  <c r="H22"/>
  <c r="H24"/>
  <c r="H26"/>
  <c r="H27"/>
  <c r="H12"/>
  <c r="H14"/>
  <c r="H16"/>
  <c r="H18"/>
  <c r="H20"/>
  <c r="H21"/>
  <c r="H23"/>
  <c r="H25"/>
  <c r="H28"/>
  <c r="H29"/>
  <c r="H30"/>
  <c r="H31"/>
  <c r="H35"/>
  <c r="N31"/>
  <c r="N33"/>
  <c r="N35"/>
  <c r="K38"/>
  <c r="K37"/>
  <c r="K32"/>
  <c r="K30"/>
  <c r="K28"/>
  <c r="K26"/>
  <c r="K24"/>
  <c r="K22"/>
  <c r="K20"/>
  <c r="K18"/>
  <c r="K16"/>
  <c r="K14"/>
  <c r="K12"/>
  <c r="K10"/>
  <c r="K8"/>
  <c r="K6"/>
  <c r="K4"/>
  <c r="K36"/>
  <c r="K35"/>
  <c r="K34"/>
  <c r="K33"/>
  <c r="K31"/>
  <c r="K29"/>
  <c r="K27"/>
  <c r="K25"/>
  <c r="K23"/>
  <c r="K21"/>
  <c r="K19"/>
  <c r="K17"/>
  <c r="K15"/>
  <c r="K13"/>
  <c r="K11"/>
  <c r="K9"/>
  <c r="K7"/>
  <c r="K5"/>
  <c r="E37"/>
  <c r="E36"/>
  <c r="E34"/>
  <c r="E32"/>
  <c r="E30"/>
  <c r="E28"/>
  <c r="E26"/>
  <c r="E24"/>
  <c r="E22"/>
  <c r="E20"/>
  <c r="E18"/>
  <c r="E16"/>
  <c r="E14"/>
  <c r="E12"/>
  <c r="E10"/>
  <c r="E8"/>
  <c r="E38"/>
  <c r="E35"/>
  <c r="E33"/>
  <c r="E31"/>
  <c r="E29"/>
  <c r="E27"/>
  <c r="E25"/>
  <c r="E23"/>
  <c r="E21"/>
  <c r="E19"/>
  <c r="E17"/>
  <c r="E15"/>
  <c r="E13"/>
  <c r="E11"/>
  <c r="E9"/>
  <c r="E7"/>
  <c r="E5"/>
  <c r="E6"/>
  <c r="E4"/>
  <c r="H37"/>
  <c r="N37"/>
  <c r="H34"/>
  <c r="H36"/>
  <c r="N36"/>
  <c r="G11" i="165"/>
  <c r="C11"/>
  <c r="I11"/>
  <c r="G13"/>
  <c r="C13"/>
  <c r="I13"/>
  <c r="G10"/>
  <c r="C10"/>
  <c r="I10"/>
  <c r="G12"/>
  <c r="C12"/>
  <c r="I12"/>
  <c r="E10"/>
  <c r="E11"/>
  <c r="E12"/>
  <c r="E13"/>
  <c r="F5"/>
  <c r="F6"/>
  <c r="F7"/>
  <c r="H45" i="143" l="1"/>
  <c r="K42" i="83"/>
  <c r="N45" i="143"/>
  <c r="E45"/>
  <c r="K45"/>
  <c r="E47" i="164" l="1"/>
  <c r="E46"/>
  <c r="E45"/>
  <c r="E44"/>
  <c r="E43"/>
  <c r="E42"/>
  <c r="E41"/>
  <c r="E40"/>
  <c r="E39"/>
  <c r="E38"/>
  <c r="E37"/>
  <c r="E36"/>
  <c r="E35"/>
  <c r="E34"/>
  <c r="E33"/>
  <c r="F32"/>
  <c r="E32"/>
  <c r="F55"/>
  <c r="F33" l="1"/>
  <c r="F34" s="1"/>
  <c r="I32"/>
  <c r="J32" s="1"/>
  <c r="G32"/>
  <c r="H32" s="1"/>
  <c r="I34" l="1"/>
  <c r="J34" s="1"/>
  <c r="G34"/>
  <c r="H34" s="1"/>
  <c r="I33"/>
  <c r="J33" s="1"/>
  <c r="G33"/>
  <c r="H33" s="1"/>
  <c r="F35"/>
  <c r="G35" l="1"/>
  <c r="H35" s="1"/>
  <c r="I35"/>
  <c r="J35" s="1"/>
  <c r="F36"/>
  <c r="I36" l="1"/>
  <c r="J36" s="1"/>
  <c r="G36"/>
  <c r="H36" s="1"/>
  <c r="F37"/>
  <c r="I37" l="1"/>
  <c r="J37" s="1"/>
  <c r="G37"/>
  <c r="H37" s="1"/>
  <c r="F38"/>
  <c r="I38" l="1"/>
  <c r="J38" s="1"/>
  <c r="G38"/>
  <c r="H38" s="1"/>
  <c r="F39"/>
  <c r="I39" l="1"/>
  <c r="J39" s="1"/>
  <c r="G39"/>
  <c r="H39" s="1"/>
  <c r="F40"/>
  <c r="I40" l="1"/>
  <c r="J40" s="1"/>
  <c r="G40"/>
  <c r="H40" s="1"/>
  <c r="F41"/>
  <c r="I41" l="1"/>
  <c r="J41" s="1"/>
  <c r="G41"/>
  <c r="H41" s="1"/>
  <c r="F42"/>
  <c r="I42" l="1"/>
  <c r="J42" s="1"/>
  <c r="G42"/>
  <c r="H42" s="1"/>
  <c r="F43"/>
  <c r="I43" l="1"/>
  <c r="J43" s="1"/>
  <c r="G43"/>
  <c r="H43" s="1"/>
  <c r="F44"/>
  <c r="I44" l="1"/>
  <c r="J44" s="1"/>
  <c r="G44"/>
  <c r="H44" s="1"/>
  <c r="F45"/>
  <c r="I45" l="1"/>
  <c r="J45" s="1"/>
  <c r="G45"/>
  <c r="H45" s="1"/>
  <c r="F46"/>
  <c r="I46" l="1"/>
  <c r="J46" s="1"/>
  <c r="G46"/>
  <c r="H46" s="1"/>
  <c r="F47"/>
  <c r="I47" l="1"/>
  <c r="J47" s="1"/>
  <c r="F48"/>
  <c r="G47"/>
  <c r="H47" s="1"/>
  <c r="G48" l="1"/>
  <c r="H48" s="1"/>
  <c r="I48"/>
  <c r="J48" s="1"/>
  <c r="D28" i="162"/>
  <c r="E28"/>
  <c r="F28"/>
  <c r="D54" l="1"/>
  <c r="E17" i="89" l="1"/>
  <c r="G17"/>
  <c r="H17"/>
  <c r="I17"/>
  <c r="J17"/>
  <c r="K17"/>
  <c r="K46"/>
  <c r="K15" s="1"/>
  <c r="J46"/>
  <c r="J15" s="1"/>
  <c r="I46"/>
  <c r="I15" s="1"/>
  <c r="H46"/>
  <c r="H15" s="1"/>
  <c r="G46"/>
  <c r="G15" s="1"/>
  <c r="F46"/>
  <c r="F15" s="1"/>
  <c r="E46"/>
  <c r="E15" s="1"/>
  <c r="D46"/>
  <c r="D15" s="1"/>
  <c r="D41" l="1"/>
  <c r="D14" s="1"/>
  <c r="E41"/>
  <c r="E14" s="1"/>
  <c r="F41"/>
  <c r="F14" s="1"/>
  <c r="G41"/>
  <c r="G14" s="1"/>
  <c r="H41"/>
  <c r="H14" s="1"/>
  <c r="I41"/>
  <c r="I14" s="1"/>
  <c r="J41"/>
  <c r="J14" s="1"/>
  <c r="K41"/>
  <c r="K14" s="1"/>
  <c r="D52" i="85"/>
  <c r="D15" s="1"/>
  <c r="E52"/>
  <c r="E15" s="1"/>
  <c r="F52"/>
  <c r="F15" s="1"/>
  <c r="G52"/>
  <c r="G15" s="1"/>
  <c r="H52"/>
  <c r="H15" s="1"/>
  <c r="I52"/>
  <c r="I15" s="1"/>
  <c r="J52"/>
  <c r="J15" s="1"/>
  <c r="K52"/>
  <c r="K15" s="1"/>
  <c r="D47"/>
  <c r="D14" s="1"/>
  <c r="E47"/>
  <c r="E14" s="1"/>
  <c r="F47"/>
  <c r="F14" s="1"/>
  <c r="G47"/>
  <c r="G14" s="1"/>
  <c r="H47"/>
  <c r="H14" s="1"/>
  <c r="I47"/>
  <c r="I14" s="1"/>
  <c r="J47"/>
  <c r="J14" s="1"/>
  <c r="K47"/>
  <c r="K14" s="1"/>
  <c r="F44" i="143"/>
  <c r="F45" s="1"/>
  <c r="G44"/>
  <c r="G45" s="1"/>
  <c r="I44"/>
  <c r="I45" s="1"/>
  <c r="J44"/>
  <c r="J45" s="1"/>
  <c r="L44"/>
  <c r="L45" s="1"/>
  <c r="M44"/>
  <c r="M45" s="1"/>
  <c r="O44"/>
  <c r="O45" s="1"/>
  <c r="D34" i="46"/>
  <c r="E34"/>
  <c r="F34"/>
  <c r="G34"/>
  <c r="H34"/>
  <c r="I34"/>
  <c r="J34"/>
  <c r="K34"/>
  <c r="L34"/>
  <c r="M34"/>
  <c r="D31" i="174" s="1"/>
  <c r="N34" i="46"/>
  <c r="E31" i="174" s="1"/>
  <c r="O34" i="46"/>
  <c r="F31" i="174" s="1"/>
  <c r="D33" i="46"/>
  <c r="E33"/>
  <c r="F33"/>
  <c r="G33"/>
  <c r="H33"/>
  <c r="I33"/>
  <c r="J33"/>
  <c r="K33"/>
  <c r="L33"/>
  <c r="M33"/>
  <c r="D30" i="174" s="1"/>
  <c r="N33" i="46"/>
  <c r="E30" i="174" s="1"/>
  <c r="O33" i="46"/>
  <c r="F30" i="174" s="1"/>
  <c r="D32" i="46"/>
  <c r="E32"/>
  <c r="F32"/>
  <c r="G32"/>
  <c r="H32"/>
  <c r="I32"/>
  <c r="J32"/>
  <c r="K32"/>
  <c r="L32"/>
  <c r="M32"/>
  <c r="D29" i="174" s="1"/>
  <c r="N32" i="46"/>
  <c r="E29" i="174" s="1"/>
  <c r="O32" i="46"/>
  <c r="F29" i="174" s="1"/>
  <c r="D31" i="46"/>
  <c r="E31"/>
  <c r="F31"/>
  <c r="G31"/>
  <c r="H31"/>
  <c r="I31"/>
  <c r="J31"/>
  <c r="K31"/>
  <c r="L31"/>
  <c r="M31"/>
  <c r="D28" i="174" s="1"/>
  <c r="N31" i="46"/>
  <c r="E28" i="174" s="1"/>
  <c r="O31" i="46"/>
  <c r="F28" i="174" s="1"/>
  <c r="D30" i="46"/>
  <c r="E30"/>
  <c r="E35" s="1"/>
  <c r="F30"/>
  <c r="F35" s="1"/>
  <c r="G30"/>
  <c r="G35" s="1"/>
  <c r="H30"/>
  <c r="H35" s="1"/>
  <c r="I30"/>
  <c r="I35" s="1"/>
  <c r="J30"/>
  <c r="J35" s="1"/>
  <c r="K30"/>
  <c r="K35" s="1"/>
  <c r="L30"/>
  <c r="L35" s="1"/>
  <c r="M30"/>
  <c r="D27" i="174" s="1"/>
  <c r="N30" i="46"/>
  <c r="O30"/>
  <c r="F27" i="174" s="1"/>
  <c r="D35" i="46"/>
  <c r="L5" i="77"/>
  <c r="D37" i="74"/>
  <c r="D6" s="1"/>
  <c r="C31" i="177" s="1"/>
  <c r="C38" s="1"/>
  <c r="E37" i="74"/>
  <c r="E6" s="1"/>
  <c r="F37"/>
  <c r="F6" s="1"/>
  <c r="G37"/>
  <c r="G6" s="1"/>
  <c r="D31" i="177" s="1"/>
  <c r="D38" s="1"/>
  <c r="H37" i="74"/>
  <c r="H6" s="1"/>
  <c r="I37"/>
  <c r="I6" s="1"/>
  <c r="J37"/>
  <c r="J6" s="1"/>
  <c r="E31" i="177" s="1"/>
  <c r="E38" s="1"/>
  <c r="K37" i="74"/>
  <c r="K6" s="1"/>
  <c r="L37"/>
  <c r="L6" s="1"/>
  <c r="M37"/>
  <c r="M6" s="1"/>
  <c r="F31" i="177" s="1"/>
  <c r="F38" s="1"/>
  <c r="N37" i="74"/>
  <c r="N6" s="1"/>
  <c r="O37"/>
  <c r="O6" s="1"/>
  <c r="O63" i="152"/>
  <c r="F53" i="162" s="1"/>
  <c r="O62" i="152"/>
  <c r="F52" i="162" s="1"/>
  <c r="O61" i="152"/>
  <c r="F51" i="162" s="1"/>
  <c r="O60" i="152"/>
  <c r="F50" i="162" s="1"/>
  <c r="O59" i="152"/>
  <c r="F49" i="162" s="1"/>
  <c r="O58" i="152"/>
  <c r="F48" i="162" s="1"/>
  <c r="O57" i="152"/>
  <c r="F47" i="162" s="1"/>
  <c r="O56" i="152"/>
  <c r="F46" i="162" s="1"/>
  <c r="O55" i="152"/>
  <c r="F45" i="162" s="1"/>
  <c r="O54" i="152"/>
  <c r="F44" i="162" s="1"/>
  <c r="O53" i="152"/>
  <c r="F43" i="162" s="1"/>
  <c r="O52" i="152"/>
  <c r="F42" i="162" s="1"/>
  <c r="O51" i="152"/>
  <c r="F41" i="162" s="1"/>
  <c r="O50" i="152"/>
  <c r="F40" i="162" s="1"/>
  <c r="O49" i="152"/>
  <c r="F39" i="162" s="1"/>
  <c r="O48" i="152"/>
  <c r="F38" i="162" s="1"/>
  <c r="O47" i="152"/>
  <c r="F37" i="162" s="1"/>
  <c r="O46" i="152"/>
  <c r="F36" i="162" s="1"/>
  <c r="O45" i="152"/>
  <c r="F35" i="162" s="1"/>
  <c r="O44" i="152"/>
  <c r="F34" i="162" s="1"/>
  <c r="O43" i="152"/>
  <c r="F33" i="162" s="1"/>
  <c r="O42" i="152"/>
  <c r="F32" i="162" s="1"/>
  <c r="O41" i="152"/>
  <c r="F31" i="162" s="1"/>
  <c r="O40" i="152"/>
  <c r="F30" i="162" s="1"/>
  <c r="L63" i="152"/>
  <c r="L62"/>
  <c r="L61"/>
  <c r="L60"/>
  <c r="L59"/>
  <c r="L58"/>
  <c r="L57"/>
  <c r="L56"/>
  <c r="L55"/>
  <c r="L54"/>
  <c r="L53"/>
  <c r="L52"/>
  <c r="L51"/>
  <c r="L50"/>
  <c r="L49"/>
  <c r="L48"/>
  <c r="L47"/>
  <c r="L46"/>
  <c r="L45"/>
  <c r="L44"/>
  <c r="L43"/>
  <c r="L42"/>
  <c r="L41"/>
  <c r="L40"/>
  <c r="I63"/>
  <c r="I62"/>
  <c r="I61"/>
  <c r="I60"/>
  <c r="I59"/>
  <c r="I58"/>
  <c r="I57"/>
  <c r="I56"/>
  <c r="I55"/>
  <c r="I54"/>
  <c r="I53"/>
  <c r="I52"/>
  <c r="I51"/>
  <c r="I50"/>
  <c r="I49"/>
  <c r="I48"/>
  <c r="I47"/>
  <c r="I46"/>
  <c r="I45"/>
  <c r="I44"/>
  <c r="I43"/>
  <c r="I42"/>
  <c r="I41"/>
  <c r="I40"/>
  <c r="F39"/>
  <c r="E39" s="1"/>
  <c r="F40"/>
  <c r="F41"/>
  <c r="F42"/>
  <c r="F43"/>
  <c r="F44"/>
  <c r="F45"/>
  <c r="F46"/>
  <c r="F47"/>
  <c r="F48"/>
  <c r="F49"/>
  <c r="F50"/>
  <c r="F51"/>
  <c r="F52"/>
  <c r="F53"/>
  <c r="F54"/>
  <c r="F55"/>
  <c r="F56"/>
  <c r="F57"/>
  <c r="F58"/>
  <c r="F59"/>
  <c r="F60"/>
  <c r="F61"/>
  <c r="F62"/>
  <c r="F63"/>
  <c r="D5" i="77"/>
  <c r="E5"/>
  <c r="F5"/>
  <c r="G5"/>
  <c r="H5"/>
  <c r="I5"/>
  <c r="J5"/>
  <c r="K5"/>
  <c r="M5"/>
  <c r="D59" i="162" s="1"/>
  <c r="N5" i="77"/>
  <c r="E59" i="162" s="1"/>
  <c r="O5" i="77"/>
  <c r="F59" i="162" s="1"/>
  <c r="E32" i="174" l="1"/>
  <c r="L35" s="1"/>
  <c r="H59" i="162"/>
  <c r="G59"/>
  <c r="K58" s="1"/>
  <c r="L58" s="1"/>
  <c r="O35" i="46"/>
  <c r="F32" i="174" s="1"/>
  <c r="F35" s="1"/>
  <c r="M35" i="46"/>
  <c r="D32" i="174" s="1"/>
  <c r="D38" s="1"/>
  <c r="K59" i="162"/>
  <c r="L59" s="1"/>
  <c r="G28" i="174"/>
  <c r="G29"/>
  <c r="G30"/>
  <c r="G31"/>
  <c r="I41" i="46"/>
  <c r="I44" s="1"/>
  <c r="N35"/>
  <c r="F41"/>
  <c r="L41"/>
  <c r="L44" s="1"/>
  <c r="K41"/>
  <c r="E41"/>
  <c r="H41"/>
  <c r="F54" i="162"/>
  <c r="G49" s="1"/>
  <c r="O38" i="82"/>
  <c r="L37" i="83"/>
  <c r="I37"/>
  <c r="F37"/>
  <c r="M38" i="82"/>
  <c r="J37" i="83"/>
  <c r="G37"/>
  <c r="D13" i="74"/>
  <c r="L38" i="174" l="1"/>
  <c r="L39"/>
  <c r="L37"/>
  <c r="L36"/>
  <c r="D37"/>
  <c r="E37"/>
  <c r="F38"/>
  <c r="E38"/>
  <c r="D36"/>
  <c r="F37"/>
  <c r="D39"/>
  <c r="D35"/>
  <c r="F36"/>
  <c r="F39"/>
  <c r="N41" i="46"/>
  <c r="N44" s="1"/>
  <c r="O41"/>
  <c r="I59" i="162"/>
  <c r="M37" i="83"/>
  <c r="O37"/>
  <c r="D37" i="156"/>
  <c r="F42" i="46"/>
  <c r="L42"/>
  <c r="O44"/>
  <c r="G53" i="162"/>
  <c r="H44" i="46"/>
  <c r="G39" i="162"/>
  <c r="I42" i="46"/>
  <c r="G50" i="162"/>
  <c r="G36"/>
  <c r="G34"/>
  <c r="G52"/>
  <c r="G37"/>
  <c r="G42"/>
  <c r="G31"/>
  <c r="G47"/>
  <c r="G44"/>
  <c r="G29"/>
  <c r="G45"/>
  <c r="G54"/>
  <c r="G46"/>
  <c r="G38"/>
  <c r="G30"/>
  <c r="G35"/>
  <c r="G43"/>
  <c r="G51"/>
  <c r="G48"/>
  <c r="G40"/>
  <c r="G32"/>
  <c r="G33"/>
  <c r="G41"/>
  <c r="K44" i="46"/>
  <c r="G38" i="83"/>
  <c r="G28"/>
  <c r="G20"/>
  <c r="G12"/>
  <c r="G4"/>
  <c r="G33"/>
  <c r="G25"/>
  <c r="G17"/>
  <c r="G5"/>
  <c r="G30"/>
  <c r="G26"/>
  <c r="G22"/>
  <c r="G18"/>
  <c r="G14"/>
  <c r="G10"/>
  <c r="G6"/>
  <c r="G36"/>
  <c r="G34"/>
  <c r="G31"/>
  <c r="G27"/>
  <c r="G23"/>
  <c r="G19"/>
  <c r="G15"/>
  <c r="G11"/>
  <c r="G7"/>
  <c r="G32"/>
  <c r="G24"/>
  <c r="G16"/>
  <c r="G8"/>
  <c r="G35"/>
  <c r="G29"/>
  <c r="G21"/>
  <c r="G13"/>
  <c r="G9"/>
  <c r="J38"/>
  <c r="J26"/>
  <c r="J22"/>
  <c r="J9"/>
  <c r="J7"/>
  <c r="J32"/>
  <c r="J27"/>
  <c r="J24"/>
  <c r="J20"/>
  <c r="J19"/>
  <c r="J18"/>
  <c r="J17"/>
  <c r="J16"/>
  <c r="J15"/>
  <c r="J14"/>
  <c r="J13"/>
  <c r="J12"/>
  <c r="J11"/>
  <c r="J10"/>
  <c r="J8"/>
  <c r="J4"/>
  <c r="J23"/>
  <c r="J29"/>
  <c r="J31"/>
  <c r="J35"/>
  <c r="J5"/>
  <c r="J6"/>
  <c r="J21"/>
  <c r="J25"/>
  <c r="J28"/>
  <c r="J30"/>
  <c r="J33"/>
  <c r="J34"/>
  <c r="J36"/>
  <c r="M34"/>
  <c r="M30"/>
  <c r="M26"/>
  <c r="M22"/>
  <c r="M18"/>
  <c r="M14"/>
  <c r="M10"/>
  <c r="M6"/>
  <c r="M35"/>
  <c r="M31"/>
  <c r="M27"/>
  <c r="M23"/>
  <c r="M19"/>
  <c r="M15"/>
  <c r="M11"/>
  <c r="M7"/>
  <c r="M36"/>
  <c r="M32"/>
  <c r="M28"/>
  <c r="M24"/>
  <c r="M20"/>
  <c r="M16"/>
  <c r="M12"/>
  <c r="M8"/>
  <c r="M38"/>
  <c r="M33"/>
  <c r="M29"/>
  <c r="M25"/>
  <c r="M21"/>
  <c r="M17"/>
  <c r="M13"/>
  <c r="M9"/>
  <c r="M5"/>
  <c r="M4"/>
  <c r="F38"/>
  <c r="F30"/>
  <c r="F28"/>
  <c r="F25"/>
  <c r="F19"/>
  <c r="F15"/>
  <c r="F4"/>
  <c r="F32"/>
  <c r="F23"/>
  <c r="F9"/>
  <c r="F7"/>
  <c r="F21"/>
  <c r="F17"/>
  <c r="F13"/>
  <c r="F6"/>
  <c r="F5"/>
  <c r="F11"/>
  <c r="F22"/>
  <c r="F26"/>
  <c r="F27"/>
  <c r="F33"/>
  <c r="F8"/>
  <c r="F10"/>
  <c r="F12"/>
  <c r="F14"/>
  <c r="F16"/>
  <c r="F18"/>
  <c r="F20"/>
  <c r="F24"/>
  <c r="F29"/>
  <c r="F31"/>
  <c r="F35"/>
  <c r="F34"/>
  <c r="F36"/>
  <c r="I34"/>
  <c r="I30"/>
  <c r="I26"/>
  <c r="I18"/>
  <c r="I14"/>
  <c r="I6"/>
  <c r="I31"/>
  <c r="I23"/>
  <c r="I15"/>
  <c r="I7"/>
  <c r="I36"/>
  <c r="I32"/>
  <c r="I28"/>
  <c r="I24"/>
  <c r="I20"/>
  <c r="I16"/>
  <c r="I12"/>
  <c r="I8"/>
  <c r="I38"/>
  <c r="I33"/>
  <c r="I29"/>
  <c r="I25"/>
  <c r="I21"/>
  <c r="I17"/>
  <c r="I13"/>
  <c r="I9"/>
  <c r="I5"/>
  <c r="I4"/>
  <c r="I22"/>
  <c r="I10"/>
  <c r="I35"/>
  <c r="I27"/>
  <c r="I19"/>
  <c r="I11"/>
  <c r="L38"/>
  <c r="L35"/>
  <c r="L32"/>
  <c r="L31"/>
  <c r="L10"/>
  <c r="L4"/>
  <c r="L5"/>
  <c r="L11"/>
  <c r="L13"/>
  <c r="L15"/>
  <c r="L17"/>
  <c r="L19"/>
  <c r="L8"/>
  <c r="L12"/>
  <c r="L14"/>
  <c r="L16"/>
  <c r="L18"/>
  <c r="L20"/>
  <c r="L29"/>
  <c r="L30"/>
  <c r="L33"/>
  <c r="L34"/>
  <c r="L6"/>
  <c r="L7"/>
  <c r="L9"/>
  <c r="L22"/>
  <c r="L24"/>
  <c r="L26"/>
  <c r="L27"/>
  <c r="L21"/>
  <c r="L23"/>
  <c r="L25"/>
  <c r="L28"/>
  <c r="L36"/>
  <c r="O38"/>
  <c r="O34"/>
  <c r="O30"/>
  <c r="O26"/>
  <c r="O22"/>
  <c r="O18"/>
  <c r="O14"/>
  <c r="O10"/>
  <c r="O6"/>
  <c r="O36"/>
  <c r="O33"/>
  <c r="O29"/>
  <c r="O25"/>
  <c r="O21"/>
  <c r="O17"/>
  <c r="O13"/>
  <c r="O9"/>
  <c r="O5"/>
  <c r="O32"/>
  <c r="O28"/>
  <c r="O24"/>
  <c r="O20"/>
  <c r="O16"/>
  <c r="O12"/>
  <c r="O8"/>
  <c r="O4"/>
  <c r="O35"/>
  <c r="O31"/>
  <c r="O27"/>
  <c r="O23"/>
  <c r="O19"/>
  <c r="O15"/>
  <c r="O11"/>
  <c r="O7"/>
  <c r="D15" i="74"/>
  <c r="C40" i="177" s="1"/>
  <c r="D19" i="74"/>
  <c r="C44" i="177" s="1"/>
  <c r="D21" i="74"/>
  <c r="C46" i="177" s="1"/>
  <c r="D23" i="74"/>
  <c r="C48" i="177" s="1"/>
  <c r="D18" i="74"/>
  <c r="C43" i="177" s="1"/>
  <c r="D22" i="74"/>
  <c r="C47" i="177" s="1"/>
  <c r="D16" i="74"/>
  <c r="C41" i="177" s="1"/>
  <c r="D20" i="74"/>
  <c r="C45" i="177" s="1"/>
  <c r="D24" i="74"/>
  <c r="D17"/>
  <c r="C42" i="177" s="1"/>
  <c r="D51" i="87"/>
  <c r="D18" s="1"/>
  <c r="E51"/>
  <c r="E18" s="1"/>
  <c r="E19" s="1"/>
  <c r="E35" s="1"/>
  <c r="F51"/>
  <c r="F18" s="1"/>
  <c r="G51"/>
  <c r="G18" s="1"/>
  <c r="H51"/>
  <c r="H18" s="1"/>
  <c r="I51"/>
  <c r="I18" s="1"/>
  <c r="I19" s="1"/>
  <c r="I35" s="1"/>
  <c r="J51"/>
  <c r="J18" s="1"/>
  <c r="K51"/>
  <c r="K18" s="1"/>
  <c r="E36" i="174" l="1"/>
  <c r="E39"/>
  <c r="O42" i="46"/>
  <c r="G32" i="174"/>
  <c r="J36"/>
  <c r="J38"/>
  <c r="J37"/>
  <c r="J39"/>
  <c r="L42" i="83"/>
  <c r="J42"/>
  <c r="E32" i="87"/>
  <c r="I32"/>
  <c r="E33"/>
  <c r="I33"/>
  <c r="E34"/>
  <c r="I34"/>
  <c r="G19"/>
  <c r="K19"/>
  <c r="D35" i="159" s="1"/>
  <c r="K16" i="89"/>
  <c r="I16"/>
  <c r="G16"/>
  <c r="K16" i="85"/>
  <c r="D32" i="157" s="1"/>
  <c r="I16" i="85"/>
  <c r="G16"/>
  <c r="E16"/>
  <c r="E30" s="1"/>
  <c r="K30" l="1"/>
  <c r="G30"/>
  <c r="G32"/>
  <c r="E29"/>
  <c r="E32"/>
  <c r="I30"/>
  <c r="I32"/>
  <c r="K29"/>
  <c r="K32"/>
  <c r="I32" i="89"/>
  <c r="G32"/>
  <c r="K32"/>
  <c r="I29" i="85"/>
  <c r="G29"/>
  <c r="K35" i="87"/>
  <c r="K34"/>
  <c r="K33"/>
  <c r="K32"/>
  <c r="G35"/>
  <c r="G34"/>
  <c r="G33"/>
  <c r="G32"/>
  <c r="N40" i="152"/>
  <c r="E30" i="162" s="1"/>
  <c r="N41" i="152"/>
  <c r="E31" i="162" s="1"/>
  <c r="N42" i="152"/>
  <c r="E32" i="162" s="1"/>
  <c r="N43" i="152"/>
  <c r="E33" i="162" s="1"/>
  <c r="N44" i="152"/>
  <c r="E34" i="162" s="1"/>
  <c r="N45" i="152"/>
  <c r="E35" i="162" s="1"/>
  <c r="N46" i="152"/>
  <c r="E36" i="162" s="1"/>
  <c r="N47" i="152"/>
  <c r="E37" i="162" s="1"/>
  <c r="N48" i="152"/>
  <c r="E38" i="162" s="1"/>
  <c r="N49" i="152"/>
  <c r="E39" i="162" s="1"/>
  <c r="N50" i="152"/>
  <c r="E40" i="162" s="1"/>
  <c r="N51" i="152"/>
  <c r="E41" i="162" s="1"/>
  <c r="N52" i="152"/>
  <c r="E42" i="162" s="1"/>
  <c r="N53" i="152"/>
  <c r="E43" i="162" s="1"/>
  <c r="N54" i="152"/>
  <c r="E44" i="162" s="1"/>
  <c r="N55" i="152"/>
  <c r="E45" i="162" s="1"/>
  <c r="N56" i="152"/>
  <c r="E46" i="162" s="1"/>
  <c r="N57" i="152"/>
  <c r="E47" i="162" s="1"/>
  <c r="N58" i="152"/>
  <c r="E48" i="162" s="1"/>
  <c r="N59" i="152"/>
  <c r="E49" i="162" s="1"/>
  <c r="N60" i="152"/>
  <c r="E50" i="162" s="1"/>
  <c r="N61" i="152"/>
  <c r="E51" i="162" s="1"/>
  <c r="N62" i="152"/>
  <c r="E52" i="162" s="1"/>
  <c r="N63" i="152"/>
  <c r="E53" i="162" s="1"/>
  <c r="K63" i="152"/>
  <c r="H63"/>
  <c r="E63"/>
  <c r="K62"/>
  <c r="H62"/>
  <c r="E62"/>
  <c r="K61"/>
  <c r="H61"/>
  <c r="E61"/>
  <c r="K60"/>
  <c r="H60"/>
  <c r="E60"/>
  <c r="K59"/>
  <c r="H59"/>
  <c r="E59"/>
  <c r="K58"/>
  <c r="H58"/>
  <c r="E58"/>
  <c r="K57"/>
  <c r="H57"/>
  <c r="E57"/>
  <c r="K56"/>
  <c r="H56"/>
  <c r="E56"/>
  <c r="K55"/>
  <c r="H55"/>
  <c r="E55"/>
  <c r="K54"/>
  <c r="H54"/>
  <c r="E54"/>
  <c r="K53"/>
  <c r="H53"/>
  <c r="E53"/>
  <c r="K52"/>
  <c r="H52"/>
  <c r="E52"/>
  <c r="K51"/>
  <c r="H51"/>
  <c r="E51"/>
  <c r="K50"/>
  <c r="H50"/>
  <c r="E50"/>
  <c r="K49"/>
  <c r="H49"/>
  <c r="E49"/>
  <c r="K48"/>
  <c r="H48"/>
  <c r="E48"/>
  <c r="K47"/>
  <c r="H47"/>
  <c r="E47"/>
  <c r="K46"/>
  <c r="H46"/>
  <c r="E46"/>
  <c r="K45"/>
  <c r="H45"/>
  <c r="E45"/>
  <c r="K44"/>
  <c r="H44"/>
  <c r="E44"/>
  <c r="K43"/>
  <c r="H43"/>
  <c r="E43"/>
  <c r="K42"/>
  <c r="H42"/>
  <c r="E42"/>
  <c r="K41"/>
  <c r="H41"/>
  <c r="E41"/>
  <c r="K40"/>
  <c r="H40"/>
  <c r="E40"/>
  <c r="D37"/>
  <c r="G37"/>
  <c r="J37"/>
  <c r="M37"/>
  <c r="D27" i="162" s="1"/>
  <c r="H30" l="1"/>
  <c r="H32"/>
  <c r="H34"/>
  <c r="H31"/>
  <c r="H33"/>
  <c r="H35"/>
  <c r="H37"/>
  <c r="H39"/>
  <c r="H41"/>
  <c r="H43"/>
  <c r="H45"/>
  <c r="H47"/>
  <c r="H49"/>
  <c r="H51"/>
  <c r="H53"/>
  <c r="H36"/>
  <c r="H38"/>
  <c r="H40"/>
  <c r="H42"/>
  <c r="H44"/>
  <c r="H46"/>
  <c r="H48"/>
  <c r="H50"/>
  <c r="H52"/>
  <c r="H29"/>
  <c r="E54"/>
  <c r="H54" s="1"/>
  <c r="N23" i="152" l="1"/>
  <c r="N25"/>
  <c r="N27"/>
  <c r="D64"/>
  <c r="E64"/>
  <c r="F64"/>
  <c r="G64"/>
  <c r="I64"/>
  <c r="I29" s="1"/>
  <c r="J64"/>
  <c r="K64"/>
  <c r="L64"/>
  <c r="M64"/>
  <c r="O64"/>
  <c r="O29" s="1"/>
  <c r="O28"/>
  <c r="N28"/>
  <c r="M28"/>
  <c r="O27"/>
  <c r="M27"/>
  <c r="O26"/>
  <c r="N26"/>
  <c r="M26"/>
  <c r="O25"/>
  <c r="M25"/>
  <c r="O24"/>
  <c r="N24"/>
  <c r="M24"/>
  <c r="O23"/>
  <c r="M23"/>
  <c r="O22"/>
  <c r="N22"/>
  <c r="M22"/>
  <c r="O21"/>
  <c r="N21"/>
  <c r="M21"/>
  <c r="O20"/>
  <c r="N20"/>
  <c r="M20"/>
  <c r="O19"/>
  <c r="N19"/>
  <c r="M19"/>
  <c r="O18"/>
  <c r="N18"/>
  <c r="M18"/>
  <c r="O17"/>
  <c r="N17"/>
  <c r="M17"/>
  <c r="O16"/>
  <c r="N16"/>
  <c r="M16"/>
  <c r="O15"/>
  <c r="N15"/>
  <c r="M15"/>
  <c r="O14"/>
  <c r="N14"/>
  <c r="M14"/>
  <c r="O13"/>
  <c r="N13"/>
  <c r="M13"/>
  <c r="O12"/>
  <c r="N12"/>
  <c r="M12"/>
  <c r="O11"/>
  <c r="N11"/>
  <c r="M11"/>
  <c r="O10"/>
  <c r="N10"/>
  <c r="M10"/>
  <c r="O9"/>
  <c r="N9"/>
  <c r="M9"/>
  <c r="O8"/>
  <c r="N8"/>
  <c r="M8"/>
  <c r="O7"/>
  <c r="N7"/>
  <c r="M7"/>
  <c r="O6"/>
  <c r="N6"/>
  <c r="M6"/>
  <c r="O5"/>
  <c r="N5"/>
  <c r="M5"/>
  <c r="O4"/>
  <c r="N4"/>
  <c r="M4"/>
  <c r="L28"/>
  <c r="K28"/>
  <c r="J28"/>
  <c r="L27"/>
  <c r="K27"/>
  <c r="J27"/>
  <c r="L26"/>
  <c r="K26"/>
  <c r="J26"/>
  <c r="L25"/>
  <c r="K25"/>
  <c r="J25"/>
  <c r="L24"/>
  <c r="K24"/>
  <c r="J24"/>
  <c r="L23"/>
  <c r="K23"/>
  <c r="J23"/>
  <c r="L22"/>
  <c r="K22"/>
  <c r="J22"/>
  <c r="L21"/>
  <c r="K21"/>
  <c r="J21"/>
  <c r="L20"/>
  <c r="K20"/>
  <c r="J20"/>
  <c r="L19"/>
  <c r="K19"/>
  <c r="J19"/>
  <c r="L18"/>
  <c r="K18"/>
  <c r="J18"/>
  <c r="L17"/>
  <c r="K17"/>
  <c r="J17"/>
  <c r="L16"/>
  <c r="K16"/>
  <c r="J16"/>
  <c r="L15"/>
  <c r="K15"/>
  <c r="J15"/>
  <c r="L14"/>
  <c r="K14"/>
  <c r="J14"/>
  <c r="L13"/>
  <c r="K13"/>
  <c r="J13"/>
  <c r="L12"/>
  <c r="K12"/>
  <c r="J12"/>
  <c r="L11"/>
  <c r="K11"/>
  <c r="J11"/>
  <c r="L10"/>
  <c r="K10"/>
  <c r="J10"/>
  <c r="L9"/>
  <c r="K9"/>
  <c r="J9"/>
  <c r="L8"/>
  <c r="K8"/>
  <c r="J8"/>
  <c r="L7"/>
  <c r="K7"/>
  <c r="J7"/>
  <c r="L6"/>
  <c r="K6"/>
  <c r="J6"/>
  <c r="L5"/>
  <c r="K5"/>
  <c r="J5"/>
  <c r="L4"/>
  <c r="K4"/>
  <c r="J4"/>
  <c r="I28"/>
  <c r="H28"/>
  <c r="G28"/>
  <c r="I27"/>
  <c r="H27"/>
  <c r="G27"/>
  <c r="I26"/>
  <c r="H26"/>
  <c r="G26"/>
  <c r="I25"/>
  <c r="H25"/>
  <c r="G25"/>
  <c r="I24"/>
  <c r="H24"/>
  <c r="G24"/>
  <c r="I23"/>
  <c r="H23"/>
  <c r="G23"/>
  <c r="I22"/>
  <c r="H22"/>
  <c r="G22"/>
  <c r="I21"/>
  <c r="H21"/>
  <c r="G21"/>
  <c r="I20"/>
  <c r="H20"/>
  <c r="G20"/>
  <c r="I19"/>
  <c r="H19"/>
  <c r="G19"/>
  <c r="I18"/>
  <c r="H18"/>
  <c r="G18"/>
  <c r="I17"/>
  <c r="H17"/>
  <c r="G17"/>
  <c r="I16"/>
  <c r="H16"/>
  <c r="G16"/>
  <c r="I15"/>
  <c r="H15"/>
  <c r="G15"/>
  <c r="I14"/>
  <c r="H14"/>
  <c r="G14"/>
  <c r="I13"/>
  <c r="H13"/>
  <c r="G13"/>
  <c r="I12"/>
  <c r="H12"/>
  <c r="G12"/>
  <c r="I11"/>
  <c r="H11"/>
  <c r="G11"/>
  <c r="I10"/>
  <c r="H10"/>
  <c r="G10"/>
  <c r="I9"/>
  <c r="H9"/>
  <c r="G9"/>
  <c r="I8"/>
  <c r="H8"/>
  <c r="G8"/>
  <c r="I7"/>
  <c r="H7"/>
  <c r="G7"/>
  <c r="I6"/>
  <c r="H6"/>
  <c r="G6"/>
  <c r="I5"/>
  <c r="H5"/>
  <c r="G5"/>
  <c r="I4"/>
  <c r="H4"/>
  <c r="G4"/>
  <c r="F29"/>
  <c r="F28"/>
  <c r="E28"/>
  <c r="F27"/>
  <c r="E27"/>
  <c r="F26"/>
  <c r="E26"/>
  <c r="F25"/>
  <c r="E25"/>
  <c r="F24"/>
  <c r="E24"/>
  <c r="F23"/>
  <c r="E23"/>
  <c r="F22"/>
  <c r="E22"/>
  <c r="F21"/>
  <c r="E21"/>
  <c r="F20"/>
  <c r="E20"/>
  <c r="F19"/>
  <c r="E19"/>
  <c r="F18"/>
  <c r="E18"/>
  <c r="F17"/>
  <c r="E17"/>
  <c r="F16"/>
  <c r="E16"/>
  <c r="F15"/>
  <c r="E15"/>
  <c r="F14"/>
  <c r="E14"/>
  <c r="F13"/>
  <c r="E13"/>
  <c r="F12"/>
  <c r="E12"/>
  <c r="F11"/>
  <c r="E11"/>
  <c r="F10"/>
  <c r="E10"/>
  <c r="F9"/>
  <c r="E9"/>
  <c r="F8"/>
  <c r="E8"/>
  <c r="F7"/>
  <c r="E7"/>
  <c r="F6"/>
  <c r="E6"/>
  <c r="F5"/>
  <c r="E5"/>
  <c r="F4"/>
  <c r="E4"/>
  <c r="D4"/>
  <c r="D5"/>
  <c r="D6"/>
  <c r="D7"/>
  <c r="D8"/>
  <c r="D9"/>
  <c r="D10"/>
  <c r="D11"/>
  <c r="D12"/>
  <c r="D13"/>
  <c r="D14"/>
  <c r="D15"/>
  <c r="D16"/>
  <c r="D17"/>
  <c r="D18"/>
  <c r="D19"/>
  <c r="D20"/>
  <c r="D21"/>
  <c r="D22"/>
  <c r="D23"/>
  <c r="D24"/>
  <c r="D25"/>
  <c r="D26"/>
  <c r="D27"/>
  <c r="D28"/>
  <c r="D29"/>
  <c r="C28" i="141"/>
  <c r="D28"/>
  <c r="E28"/>
  <c r="F28"/>
  <c r="C29"/>
  <c r="D29"/>
  <c r="E29"/>
  <c r="F29"/>
  <c r="C30"/>
  <c r="D30"/>
  <c r="E30"/>
  <c r="F30"/>
  <c r="C31"/>
  <c r="D31"/>
  <c r="E31"/>
  <c r="F31"/>
  <c r="C32"/>
  <c r="D32"/>
  <c r="E32"/>
  <c r="F32"/>
  <c r="C33"/>
  <c r="D33"/>
  <c r="E33"/>
  <c r="F33"/>
  <c r="C35"/>
  <c r="D35"/>
  <c r="E35"/>
  <c r="F35"/>
  <c r="E36" l="1"/>
  <c r="G29" i="152"/>
  <c r="E35" i="155"/>
  <c r="D35" s="1"/>
  <c r="D34"/>
  <c r="D33"/>
  <c r="D32"/>
  <c r="D36"/>
  <c r="D28"/>
  <c r="D31"/>
  <c r="D29"/>
  <c r="D30"/>
  <c r="K29" i="152"/>
  <c r="E29"/>
  <c r="J29"/>
  <c r="L29"/>
  <c r="C36" i="141"/>
  <c r="M29" i="152"/>
  <c r="N64"/>
  <c r="N29" s="1"/>
  <c r="H64"/>
  <c r="H29" s="1"/>
  <c r="F36" i="141"/>
  <c r="D36"/>
  <c r="D42" i="87" l="1"/>
  <c r="D43" i="85" l="1"/>
  <c r="J10" i="139" l="1"/>
  <c r="E42" i="87" l="1"/>
  <c r="F42"/>
  <c r="G42"/>
  <c r="H42"/>
  <c r="J42"/>
  <c r="M12" i="149" l="1"/>
  <c r="M20" s="1"/>
  <c r="F44" i="141" s="1"/>
  <c r="O12" i="149"/>
  <c r="O20" s="1"/>
  <c r="N12"/>
  <c r="N20" s="1"/>
  <c r="L12"/>
  <c r="L20" s="1"/>
  <c r="K12"/>
  <c r="K20" s="1"/>
  <c r="J12"/>
  <c r="J20" s="1"/>
  <c r="E44" i="141" s="1"/>
  <c r="E12" i="149" l="1"/>
  <c r="E20" s="1"/>
  <c r="G12"/>
  <c r="I12"/>
  <c r="I20" s="1"/>
  <c r="K14"/>
  <c r="M14"/>
  <c r="F38" i="141" s="1"/>
  <c r="O14" i="149"/>
  <c r="K15"/>
  <c r="M15"/>
  <c r="F39" i="141" s="1"/>
  <c r="O15" i="149"/>
  <c r="K16"/>
  <c r="M16"/>
  <c r="F40" i="141" s="1"/>
  <c r="O16" i="149"/>
  <c r="K17"/>
  <c r="M17"/>
  <c r="F41" i="141" s="1"/>
  <c r="O17" i="149"/>
  <c r="K18"/>
  <c r="M18"/>
  <c r="F42" i="141" s="1"/>
  <c r="O18" i="149"/>
  <c r="K19"/>
  <c r="M19"/>
  <c r="F43" i="141" s="1"/>
  <c r="O19" i="149"/>
  <c r="K21"/>
  <c r="M21"/>
  <c r="F45" i="141" s="1"/>
  <c r="O21" i="149"/>
  <c r="D12"/>
  <c r="D20" s="1"/>
  <c r="C44" i="141" s="1"/>
  <c r="F12" i="149"/>
  <c r="H12"/>
  <c r="J14"/>
  <c r="E38" i="141" s="1"/>
  <c r="L14" i="149"/>
  <c r="N14"/>
  <c r="J15"/>
  <c r="E39" i="141" s="1"/>
  <c r="L15" i="149"/>
  <c r="N15"/>
  <c r="J16"/>
  <c r="E40" i="141" s="1"/>
  <c r="L16" i="149"/>
  <c r="N16"/>
  <c r="J17"/>
  <c r="E41" i="141" s="1"/>
  <c r="L17" i="149"/>
  <c r="N17"/>
  <c r="J18"/>
  <c r="E42" i="141" s="1"/>
  <c r="L18" i="149"/>
  <c r="N18"/>
  <c r="J19"/>
  <c r="E43" i="141" s="1"/>
  <c r="L19" i="149"/>
  <c r="N19"/>
  <c r="J21"/>
  <c r="E45" i="141" s="1"/>
  <c r="L21" i="149"/>
  <c r="N21"/>
  <c r="J6" i="139"/>
  <c r="F17" i="149" l="1"/>
  <c r="F20"/>
  <c r="G17"/>
  <c r="D41" i="141" s="1"/>
  <c r="G20" i="149"/>
  <c r="D44" i="141" s="1"/>
  <c r="H17" i="149"/>
  <c r="H20"/>
  <c r="D21"/>
  <c r="C45" i="141" s="1"/>
  <c r="D19" i="149"/>
  <c r="C43" i="141" s="1"/>
  <c r="D18" i="149"/>
  <c r="C42" i="141" s="1"/>
  <c r="D16" i="149"/>
  <c r="C40" i="141" s="1"/>
  <c r="D15" i="149"/>
  <c r="C39" i="141" s="1"/>
  <c r="D14" i="149"/>
  <c r="C38" i="141" s="1"/>
  <c r="I21" i="149"/>
  <c r="I19"/>
  <c r="I18"/>
  <c r="I16"/>
  <c r="I15"/>
  <c r="I14"/>
  <c r="E21"/>
  <c r="E19"/>
  <c r="E18"/>
  <c r="E16"/>
  <c r="E15"/>
  <c r="E14"/>
  <c r="F21"/>
  <c r="F19"/>
  <c r="F18"/>
  <c r="F16"/>
  <c r="F15"/>
  <c r="F14"/>
  <c r="G21"/>
  <c r="D45" i="141" s="1"/>
  <c r="G19" i="149"/>
  <c r="D43" i="141" s="1"/>
  <c r="G18" i="149"/>
  <c r="D42" i="141" s="1"/>
  <c r="G16" i="149"/>
  <c r="D40" i="141" s="1"/>
  <c r="G15" i="149"/>
  <c r="D39" i="141" s="1"/>
  <c r="G14" i="149"/>
  <c r="D38" i="141" s="1"/>
  <c r="L22" i="149"/>
  <c r="M22"/>
  <c r="N22"/>
  <c r="J22"/>
  <c r="O22"/>
  <c r="K22"/>
  <c r="I17"/>
  <c r="E17"/>
  <c r="D17"/>
  <c r="H21"/>
  <c r="H19"/>
  <c r="H18"/>
  <c r="H16"/>
  <c r="H15"/>
  <c r="H14"/>
  <c r="K42" i="87"/>
  <c r="I42"/>
  <c r="O39" i="91"/>
  <c r="I39"/>
  <c r="R17" i="149" l="1"/>
  <c r="Q17"/>
  <c r="C41" i="141"/>
  <c r="H22" i="149"/>
  <c r="F22"/>
  <c r="I22"/>
  <c r="G22"/>
  <c r="E22"/>
  <c r="D22"/>
  <c r="D9" i="143" l="1"/>
  <c r="D44"/>
  <c r="D43"/>
  <c r="D42"/>
  <c r="D41"/>
  <c r="D40"/>
  <c r="D39"/>
  <c r="D37"/>
  <c r="D36"/>
  <c r="D35"/>
  <c r="D34"/>
  <c r="D33"/>
  <c r="D31"/>
  <c r="D30"/>
  <c r="D29"/>
  <c r="D28"/>
  <c r="D27"/>
  <c r="D24"/>
  <c r="D23"/>
  <c r="D22"/>
  <c r="D21"/>
  <c r="D20"/>
  <c r="D19"/>
  <c r="D18"/>
  <c r="D17"/>
  <c r="D16"/>
  <c r="D15"/>
  <c r="D14"/>
  <c r="D13"/>
  <c r="D12"/>
  <c r="D11"/>
  <c r="D8"/>
  <c r="D6"/>
  <c r="D5"/>
  <c r="D36" i="156"/>
  <c r="D29" i="137"/>
  <c r="D4" i="138" s="1"/>
  <c r="E29" i="137"/>
  <c r="E4" i="138" s="1"/>
  <c r="F29" i="137"/>
  <c r="F4" i="138" s="1"/>
  <c r="G29" i="137"/>
  <c r="G4" i="138" s="1"/>
  <c r="H29" i="137"/>
  <c r="H4" i="138" s="1"/>
  <c r="I29" i="137"/>
  <c r="I4" i="138" s="1"/>
  <c r="J29" i="137"/>
  <c r="J4" i="138" s="1"/>
  <c r="K29" i="137"/>
  <c r="K4" i="138" s="1"/>
  <c r="K29" i="100"/>
  <c r="K4" i="133" s="1"/>
  <c r="J29" i="100"/>
  <c r="J4" i="133" s="1"/>
  <c r="I29" i="100"/>
  <c r="I4" i="133" s="1"/>
  <c r="H29" i="100"/>
  <c r="H4" i="133" s="1"/>
  <c r="G29" i="100"/>
  <c r="G4" i="133" s="1"/>
  <c r="F29" i="100"/>
  <c r="F4" i="133" s="1"/>
  <c r="E29" i="100"/>
  <c r="E4" i="133" s="1"/>
  <c r="D29" i="100"/>
  <c r="D29" i="110"/>
  <c r="D4" i="130" s="1"/>
  <c r="E29" i="110"/>
  <c r="E4" i="130" s="1"/>
  <c r="F29" i="110"/>
  <c r="F4" i="130" s="1"/>
  <c r="G29" i="110"/>
  <c r="H29"/>
  <c r="H4" i="130" s="1"/>
  <c r="I29" i="110"/>
  <c r="I4" i="130" s="1"/>
  <c r="J29" i="110"/>
  <c r="J4" i="130" s="1"/>
  <c r="K29" i="110"/>
  <c r="D29" i="104"/>
  <c r="D4" i="129" s="1"/>
  <c r="E29" i="104"/>
  <c r="E4" i="129" s="1"/>
  <c r="F29" i="104"/>
  <c r="F4" i="129" s="1"/>
  <c r="G29" i="104"/>
  <c r="G4" i="129" s="1"/>
  <c r="H29" i="104"/>
  <c r="H4" i="129" s="1"/>
  <c r="I29" i="104"/>
  <c r="I4" i="129" s="1"/>
  <c r="J29" i="104"/>
  <c r="J4" i="129" s="1"/>
  <c r="K29" i="104"/>
  <c r="K4" i="129" s="1"/>
  <c r="D29" i="114"/>
  <c r="D4" i="128" s="1"/>
  <c r="E29" i="114"/>
  <c r="E4" i="128" s="1"/>
  <c r="F29" i="114"/>
  <c r="F4" i="128" s="1"/>
  <c r="G29" i="114"/>
  <c r="H29"/>
  <c r="H4" i="128" s="1"/>
  <c r="I29" i="114"/>
  <c r="I4" i="128" s="1"/>
  <c r="J29" i="114"/>
  <c r="J4" i="128" s="1"/>
  <c r="K29" i="114"/>
  <c r="D29" i="113"/>
  <c r="D4" i="127" s="1"/>
  <c r="E29" i="113"/>
  <c r="E4" i="127" s="1"/>
  <c r="F29" i="113"/>
  <c r="F4" i="127" s="1"/>
  <c r="G29" i="113"/>
  <c r="G4" i="127" s="1"/>
  <c r="H29" i="113"/>
  <c r="H4" i="127" s="1"/>
  <c r="I29" i="113"/>
  <c r="I4" i="127" s="1"/>
  <c r="J29" i="113"/>
  <c r="J4" i="127" s="1"/>
  <c r="K29" i="113"/>
  <c r="K4" i="127" s="1"/>
  <c r="D29" i="118"/>
  <c r="D4" i="126" s="1"/>
  <c r="E29" i="118"/>
  <c r="E4" i="126" s="1"/>
  <c r="F29" i="118"/>
  <c r="F4" i="126" s="1"/>
  <c r="G29" i="118"/>
  <c r="H29"/>
  <c r="H4" i="126" s="1"/>
  <c r="I29" i="118"/>
  <c r="I4" i="126" s="1"/>
  <c r="J29" i="118"/>
  <c r="J4" i="126" s="1"/>
  <c r="K29" i="118"/>
  <c r="O13" i="74"/>
  <c r="O16" s="1"/>
  <c r="N13"/>
  <c r="N16" s="1"/>
  <c r="L13"/>
  <c r="L15" s="1"/>
  <c r="K13"/>
  <c r="K17" s="1"/>
  <c r="J13"/>
  <c r="J15" s="1"/>
  <c r="E40" i="177" s="1"/>
  <c r="J7" i="139"/>
  <c r="J3"/>
  <c r="F29" i="93"/>
  <c r="F4" i="122" s="1"/>
  <c r="E29" i="93"/>
  <c r="E4" i="122" s="1"/>
  <c r="D29" i="93"/>
  <c r="D4" i="122" s="1"/>
  <c r="K29" i="93"/>
  <c r="K4" i="122" s="1"/>
  <c r="J29" i="93"/>
  <c r="J4" i="122" s="1"/>
  <c r="I29" i="93"/>
  <c r="I4" i="122" s="1"/>
  <c r="H29" i="93"/>
  <c r="H4" i="122" s="1"/>
  <c r="G29" i="93"/>
  <c r="G4" i="122" s="1"/>
  <c r="K29" i="97"/>
  <c r="J29"/>
  <c r="I29"/>
  <c r="H29"/>
  <c r="G29"/>
  <c r="F29"/>
  <c r="F4" i="123" s="1"/>
  <c r="E29" i="97"/>
  <c r="E4" i="123" s="1"/>
  <c r="D29" i="97"/>
  <c r="D4" i="123" s="1"/>
  <c r="K4"/>
  <c r="J4"/>
  <c r="I4"/>
  <c r="H4"/>
  <c r="G4"/>
  <c r="D34" i="159"/>
  <c r="K29" i="112"/>
  <c r="K4" i="125" s="1"/>
  <c r="J29" i="112"/>
  <c r="J4" i="125" s="1"/>
  <c r="I29" i="112"/>
  <c r="I4" i="125" s="1"/>
  <c r="H29" i="112"/>
  <c r="H4" i="125" s="1"/>
  <c r="G29" i="112"/>
  <c r="G4" i="125" s="1"/>
  <c r="F29" i="112"/>
  <c r="E29"/>
  <c r="E4" i="125" s="1"/>
  <c r="D29" i="112"/>
  <c r="K21" i="87"/>
  <c r="K22"/>
  <c r="K23"/>
  <c r="K24"/>
  <c r="I21"/>
  <c r="I22"/>
  <c r="I23"/>
  <c r="I24"/>
  <c r="G21"/>
  <c r="G22"/>
  <c r="G23"/>
  <c r="G24"/>
  <c r="E21"/>
  <c r="E22"/>
  <c r="E23"/>
  <c r="D47" s="1"/>
  <c r="E24"/>
  <c r="D38" i="82"/>
  <c r="D6" i="77"/>
  <c r="E6"/>
  <c r="F6"/>
  <c r="G6"/>
  <c r="H6"/>
  <c r="I6"/>
  <c r="J6"/>
  <c r="K6"/>
  <c r="L6"/>
  <c r="M6"/>
  <c r="D60" i="162" s="1"/>
  <c r="N6" i="77"/>
  <c r="E60" i="162" s="1"/>
  <c r="O6" i="77"/>
  <c r="F60" i="162" s="1"/>
  <c r="D8" i="77"/>
  <c r="E8"/>
  <c r="F8"/>
  <c r="G8"/>
  <c r="H8"/>
  <c r="I8"/>
  <c r="J8"/>
  <c r="K8"/>
  <c r="L8"/>
  <c r="M8"/>
  <c r="D62" i="162" s="1"/>
  <c r="N8" i="77"/>
  <c r="E62" i="162" s="1"/>
  <c r="O8" i="77"/>
  <c r="F62" i="162" s="1"/>
  <c r="D9" i="77"/>
  <c r="E9"/>
  <c r="F9"/>
  <c r="G9"/>
  <c r="H9"/>
  <c r="I9"/>
  <c r="J9"/>
  <c r="K9"/>
  <c r="L9"/>
  <c r="M9"/>
  <c r="D63" i="162" s="1"/>
  <c r="N9" i="77"/>
  <c r="E63" i="162" s="1"/>
  <c r="O9" i="77"/>
  <c r="F63" i="162" s="1"/>
  <c r="D10" i="77"/>
  <c r="E10"/>
  <c r="F10"/>
  <c r="G10"/>
  <c r="H10"/>
  <c r="I10"/>
  <c r="J10"/>
  <c r="K10"/>
  <c r="L10"/>
  <c r="O10"/>
  <c r="F64" i="162" s="1"/>
  <c r="D29" i="46"/>
  <c r="D7" i="73" s="1"/>
  <c r="E29" i="46"/>
  <c r="E12" i="73" s="1"/>
  <c r="F29" i="46"/>
  <c r="G29"/>
  <c r="G8" i="73" s="1"/>
  <c r="H29" i="46"/>
  <c r="H11" i="73" s="1"/>
  <c r="I29" i="46"/>
  <c r="J29"/>
  <c r="J14" i="73" s="1"/>
  <c r="K29" i="46"/>
  <c r="K23" i="73" s="1"/>
  <c r="L29" i="46"/>
  <c r="L5" i="73" s="1"/>
  <c r="M29" i="46"/>
  <c r="N29"/>
  <c r="N18" i="73" s="1"/>
  <c r="O29" i="46"/>
  <c r="O5" i="73" s="1"/>
  <c r="J10"/>
  <c r="J14" i="139"/>
  <c r="J13"/>
  <c r="J11"/>
  <c r="J5"/>
  <c r="J4"/>
  <c r="F8"/>
  <c r="F7"/>
  <c r="F6"/>
  <c r="F5"/>
  <c r="F4"/>
  <c r="C8"/>
  <c r="C7"/>
  <c r="C6"/>
  <c r="C5"/>
  <c r="C4"/>
  <c r="D31" i="157"/>
  <c r="K4" i="135"/>
  <c r="J4"/>
  <c r="I4"/>
  <c r="H4"/>
  <c r="D4" i="133"/>
  <c r="E16" i="89"/>
  <c r="G25"/>
  <c r="G26"/>
  <c r="I26"/>
  <c r="K26"/>
  <c r="G27"/>
  <c r="I27"/>
  <c r="K27"/>
  <c r="G28"/>
  <c r="I28"/>
  <c r="K28"/>
  <c r="K4" i="132"/>
  <c r="J4"/>
  <c r="I4"/>
  <c r="H4"/>
  <c r="G4"/>
  <c r="F4"/>
  <c r="E4"/>
  <c r="D4"/>
  <c r="K4" i="130"/>
  <c r="G4"/>
  <c r="K31" i="87"/>
  <c r="I31"/>
  <c r="G31"/>
  <c r="E31"/>
  <c r="K30"/>
  <c r="I30"/>
  <c r="G30"/>
  <c r="E30"/>
  <c r="K29"/>
  <c r="I29"/>
  <c r="G29"/>
  <c r="E29"/>
  <c r="K28"/>
  <c r="I28"/>
  <c r="G28"/>
  <c r="E28"/>
  <c r="K27"/>
  <c r="I27"/>
  <c r="G27"/>
  <c r="E27"/>
  <c r="K26"/>
  <c r="I26"/>
  <c r="G26"/>
  <c r="E26"/>
  <c r="K25"/>
  <c r="I25"/>
  <c r="G25"/>
  <c r="E25"/>
  <c r="K4" i="128"/>
  <c r="G4"/>
  <c r="K4" i="126"/>
  <c r="G4"/>
  <c r="F4" i="125"/>
  <c r="D4"/>
  <c r="E13" i="74"/>
  <c r="E15" s="1"/>
  <c r="F13"/>
  <c r="F15" s="1"/>
  <c r="G13"/>
  <c r="G15" s="1"/>
  <c r="D40" i="177" s="1"/>
  <c r="H13" i="74"/>
  <c r="H15" s="1"/>
  <c r="I13"/>
  <c r="I15" s="1"/>
  <c r="M13"/>
  <c r="M15" s="1"/>
  <c r="F40" i="177" s="1"/>
  <c r="N10" i="73"/>
  <c r="N14"/>
  <c r="N26"/>
  <c r="G15"/>
  <c r="E20" i="85"/>
  <c r="G20"/>
  <c r="I20"/>
  <c r="K20"/>
  <c r="E21"/>
  <c r="G21"/>
  <c r="I21"/>
  <c r="K21"/>
  <c r="E22"/>
  <c r="G22"/>
  <c r="I22"/>
  <c r="K22"/>
  <c r="E23"/>
  <c r="G23"/>
  <c r="I23"/>
  <c r="K23"/>
  <c r="E24"/>
  <c r="G24"/>
  <c r="I24"/>
  <c r="K24"/>
  <c r="E25"/>
  <c r="G25"/>
  <c r="I25"/>
  <c r="K25"/>
  <c r="E26"/>
  <c r="G26"/>
  <c r="I26"/>
  <c r="K26"/>
  <c r="E27"/>
  <c r="G27"/>
  <c r="I27"/>
  <c r="K27"/>
  <c r="E28"/>
  <c r="G28"/>
  <c r="I28"/>
  <c r="K28"/>
  <c r="E19"/>
  <c r="E31" s="1"/>
  <c r="G19"/>
  <c r="G31" s="1"/>
  <c r="I19"/>
  <c r="I31" s="1"/>
  <c r="K19"/>
  <c r="K31" s="1"/>
  <c r="N10" i="77" l="1"/>
  <c r="E64" i="162" s="1"/>
  <c r="E24" i="73"/>
  <c r="M10" i="77"/>
  <c r="D64" i="162" s="1"/>
  <c r="E16" i="73"/>
  <c r="J18"/>
  <c r="H17"/>
  <c r="G23"/>
  <c r="H9"/>
  <c r="D19"/>
  <c r="H25"/>
  <c r="O20"/>
  <c r="O28"/>
  <c r="G9"/>
  <c r="N22"/>
  <c r="N6"/>
  <c r="J6"/>
  <c r="O12"/>
  <c r="G25"/>
  <c r="G17"/>
  <c r="O4"/>
  <c r="J22"/>
  <c r="L22"/>
  <c r="D11"/>
  <c r="H23"/>
  <c r="H15"/>
  <c r="H7"/>
  <c r="L14"/>
  <c r="D23"/>
  <c r="H21"/>
  <c r="H13"/>
  <c r="H5"/>
  <c r="D27"/>
  <c r="D15"/>
  <c r="H27"/>
  <c r="H19"/>
  <c r="O22"/>
  <c r="O14"/>
  <c r="G7"/>
  <c r="O6"/>
  <c r="E8"/>
  <c r="O27"/>
  <c r="G26"/>
  <c r="G24"/>
  <c r="O21"/>
  <c r="O19"/>
  <c r="G18"/>
  <c r="G16"/>
  <c r="O13"/>
  <c r="O11"/>
  <c r="G10"/>
  <c r="E28"/>
  <c r="E20"/>
  <c r="D4" i="83"/>
  <c r="H41" i="85"/>
  <c r="L18" i="73"/>
  <c r="L10"/>
  <c r="N5"/>
  <c r="E6" i="176"/>
  <c r="N35" i="173"/>
  <c r="L7" i="73"/>
  <c r="G5" i="176"/>
  <c r="L44" i="82"/>
  <c r="L35" i="173"/>
  <c r="D5" i="176"/>
  <c r="G7" i="175"/>
  <c r="J44" i="82"/>
  <c r="J35" i="173"/>
  <c r="H4" i="73"/>
  <c r="E4" i="176"/>
  <c r="H44" i="82"/>
  <c r="H35" i="173"/>
  <c r="F4" i="73"/>
  <c r="G3" i="176"/>
  <c r="F44" i="82"/>
  <c r="F35" i="173"/>
  <c r="D3" i="176"/>
  <c r="G5" i="175"/>
  <c r="D35" i="173"/>
  <c r="O31" i="74"/>
  <c r="G6" i="176"/>
  <c r="O35" i="173"/>
  <c r="D6" i="176"/>
  <c r="G8" i="175"/>
  <c r="M35" i="173"/>
  <c r="E5" i="176"/>
  <c r="K44" i="82"/>
  <c r="K35" i="173"/>
  <c r="I7" i="73"/>
  <c r="G4" i="176"/>
  <c r="I44" i="82"/>
  <c r="I35" i="173"/>
  <c r="D4" i="176"/>
  <c r="G6" i="175"/>
  <c r="G44" i="82"/>
  <c r="G35" i="173"/>
  <c r="E4" i="73"/>
  <c r="E3" i="176"/>
  <c r="E35" i="173"/>
  <c r="I28" i="73"/>
  <c r="I27"/>
  <c r="M26"/>
  <c r="M25"/>
  <c r="M24"/>
  <c r="M23"/>
  <c r="I22"/>
  <c r="I21"/>
  <c r="I20"/>
  <c r="I19"/>
  <c r="M18"/>
  <c r="M17"/>
  <c r="M16"/>
  <c r="M15"/>
  <c r="I14"/>
  <c r="I13"/>
  <c r="I12"/>
  <c r="I11"/>
  <c r="M10"/>
  <c r="M9"/>
  <c r="M8"/>
  <c r="M7"/>
  <c r="I6"/>
  <c r="I5"/>
  <c r="I4"/>
  <c r="E26"/>
  <c r="E22"/>
  <c r="E18"/>
  <c r="E14"/>
  <c r="E10"/>
  <c r="E6"/>
  <c r="M28"/>
  <c r="G28"/>
  <c r="M27"/>
  <c r="G27"/>
  <c r="O26"/>
  <c r="I26"/>
  <c r="O25"/>
  <c r="I25"/>
  <c r="O24"/>
  <c r="I24"/>
  <c r="O23"/>
  <c r="I23"/>
  <c r="M22"/>
  <c r="G22"/>
  <c r="M21"/>
  <c r="G21"/>
  <c r="M20"/>
  <c r="G20"/>
  <c r="M19"/>
  <c r="G19"/>
  <c r="O18"/>
  <c r="I18"/>
  <c r="O17"/>
  <c r="I17"/>
  <c r="O16"/>
  <c r="I16"/>
  <c r="O15"/>
  <c r="I15"/>
  <c r="M14"/>
  <c r="G14"/>
  <c r="M13"/>
  <c r="G13"/>
  <c r="M12"/>
  <c r="G12"/>
  <c r="M11"/>
  <c r="G11"/>
  <c r="O10"/>
  <c r="I10"/>
  <c r="O9"/>
  <c r="I9"/>
  <c r="O8"/>
  <c r="I8"/>
  <c r="O7"/>
  <c r="M6"/>
  <c r="G6"/>
  <c r="M5"/>
  <c r="G5"/>
  <c r="M4"/>
  <c r="G4"/>
  <c r="E27"/>
  <c r="E25"/>
  <c r="E23"/>
  <c r="E21"/>
  <c r="E19"/>
  <c r="E17"/>
  <c r="E15"/>
  <c r="E13"/>
  <c r="E11"/>
  <c r="E9"/>
  <c r="E7"/>
  <c r="J23" i="74"/>
  <c r="E48" i="177" s="1"/>
  <c r="J21" i="74"/>
  <c r="E46" i="177" s="1"/>
  <c r="J24" i="74"/>
  <c r="J22"/>
  <c r="E47" i="177" s="1"/>
  <c r="J17" i="74"/>
  <c r="E42" i="177" s="1"/>
  <c r="L24" i="74"/>
  <c r="L23"/>
  <c r="L22"/>
  <c r="L21"/>
  <c r="O17"/>
  <c r="O15"/>
  <c r="N19"/>
  <c r="J24" i="73"/>
  <c r="D41" i="85"/>
  <c r="K9" i="73"/>
  <c r="D25"/>
  <c r="D21"/>
  <c r="D17"/>
  <c r="D13"/>
  <c r="D9"/>
  <c r="D5"/>
  <c r="D28"/>
  <c r="D26"/>
  <c r="D24"/>
  <c r="D22"/>
  <c r="D20"/>
  <c r="D18"/>
  <c r="D16"/>
  <c r="D14"/>
  <c r="D12"/>
  <c r="D10"/>
  <c r="D8"/>
  <c r="D6"/>
  <c r="D4"/>
  <c r="K16" i="74"/>
  <c r="N15"/>
  <c r="K15"/>
  <c r="N28" i="73"/>
  <c r="N24"/>
  <c r="N20"/>
  <c r="N16"/>
  <c r="N12"/>
  <c r="N8"/>
  <c r="N4"/>
  <c r="J20"/>
  <c r="J16"/>
  <c r="J12"/>
  <c r="L20"/>
  <c r="L16"/>
  <c r="L12"/>
  <c r="J8"/>
  <c r="J4"/>
  <c r="L9"/>
  <c r="J26"/>
  <c r="F28"/>
  <c r="F27"/>
  <c r="F26"/>
  <c r="F25"/>
  <c r="F24"/>
  <c r="F23"/>
  <c r="F22"/>
  <c r="F21"/>
  <c r="F20"/>
  <c r="F19"/>
  <c r="F18"/>
  <c r="F17"/>
  <c r="F16"/>
  <c r="F15"/>
  <c r="F14"/>
  <c r="F13"/>
  <c r="F12"/>
  <c r="F11"/>
  <c r="F10"/>
  <c r="F9"/>
  <c r="F8"/>
  <c r="F7"/>
  <c r="F6"/>
  <c r="F5"/>
  <c r="D31" i="74"/>
  <c r="H28" i="73"/>
  <c r="H26"/>
  <c r="H24"/>
  <c r="H22"/>
  <c r="H20"/>
  <c r="H18"/>
  <c r="H16"/>
  <c r="H14"/>
  <c r="H12"/>
  <c r="H10"/>
  <c r="H8"/>
  <c r="H6"/>
  <c r="N27"/>
  <c r="N25"/>
  <c r="N23"/>
  <c r="N21"/>
  <c r="N19"/>
  <c r="N17"/>
  <c r="N15"/>
  <c r="N13"/>
  <c r="N11"/>
  <c r="N9"/>
  <c r="N7"/>
  <c r="J21"/>
  <c r="J19"/>
  <c r="J17"/>
  <c r="J15"/>
  <c r="J13"/>
  <c r="J11"/>
  <c r="L21"/>
  <c r="L19"/>
  <c r="L17"/>
  <c r="L15"/>
  <c r="L13"/>
  <c r="L11"/>
  <c r="J9"/>
  <c r="J7"/>
  <c r="J5"/>
  <c r="J28"/>
  <c r="D4" i="124"/>
  <c r="F4"/>
  <c r="H4"/>
  <c r="J4"/>
  <c r="N35" i="73"/>
  <c r="N44" i="82"/>
  <c r="L35" i="73"/>
  <c r="J35"/>
  <c r="H35"/>
  <c r="F35"/>
  <c r="D35"/>
  <c r="O35"/>
  <c r="O44" i="82"/>
  <c r="M35" i="73"/>
  <c r="M44" i="82"/>
  <c r="K35" i="73"/>
  <c r="I35"/>
  <c r="G35"/>
  <c r="E35"/>
  <c r="E44" i="82"/>
  <c r="I43" i="87"/>
  <c r="N24" i="74"/>
  <c r="K24"/>
  <c r="N23"/>
  <c r="K23"/>
  <c r="N22"/>
  <c r="K22"/>
  <c r="N21"/>
  <c r="K21"/>
  <c r="N20"/>
  <c r="N18"/>
  <c r="E31"/>
  <c r="M31"/>
  <c r="G31"/>
  <c r="L17"/>
  <c r="D4" i="135"/>
  <c r="E25" i="89"/>
  <c r="E32"/>
  <c r="D10" i="143"/>
  <c r="D26"/>
  <c r="D32"/>
  <c r="D38"/>
  <c r="N33" i="73"/>
  <c r="G12" i="148" s="1"/>
  <c r="N34" i="73"/>
  <c r="G13" i="148" s="1"/>
  <c r="N32" i="73"/>
  <c r="G11" i="148" s="1"/>
  <c r="N31" i="73"/>
  <c r="G10" i="148" s="1"/>
  <c r="N30" i="73"/>
  <c r="G9" i="148" s="1"/>
  <c r="L27" i="149"/>
  <c r="L33" i="73"/>
  <c r="F18" i="148" s="1"/>
  <c r="L34" i="73"/>
  <c r="F19" i="148" s="1"/>
  <c r="L32" i="73"/>
  <c r="F17" i="148" s="1"/>
  <c r="L31" i="73"/>
  <c r="F16" i="148" s="1"/>
  <c r="L30" i="73"/>
  <c r="F15" i="148" s="1"/>
  <c r="J33" i="73"/>
  <c r="F6" i="148" s="1"/>
  <c r="J34" i="73"/>
  <c r="F7" i="148" s="1"/>
  <c r="J32" i="73"/>
  <c r="F5" i="148" s="1"/>
  <c r="J31" i="73"/>
  <c r="F4" i="148" s="1"/>
  <c r="J30" i="73"/>
  <c r="F3" i="148" s="1"/>
  <c r="H33" i="73"/>
  <c r="E12" i="148" s="1"/>
  <c r="H34" i="73"/>
  <c r="E13" i="148" s="1"/>
  <c r="H32" i="73"/>
  <c r="E11" i="148" s="1"/>
  <c r="H31" i="73"/>
  <c r="E10" i="148" s="1"/>
  <c r="H30" i="73"/>
  <c r="E9" i="148" s="1"/>
  <c r="F33" i="73"/>
  <c r="D18" i="148" s="1"/>
  <c r="F34" i="73"/>
  <c r="D19" i="148" s="1"/>
  <c r="F32" i="73"/>
  <c r="D17" i="148" s="1"/>
  <c r="F31" i="73"/>
  <c r="D16" i="148" s="1"/>
  <c r="F30" i="73"/>
  <c r="D15" i="148" s="1"/>
  <c r="D33" i="73"/>
  <c r="D6" i="148" s="1"/>
  <c r="D34" i="73"/>
  <c r="D7" i="148" s="1"/>
  <c r="D32" i="73"/>
  <c r="D5" i="148" s="1"/>
  <c r="D31" i="73"/>
  <c r="D4" i="148" s="1"/>
  <c r="D30" i="73"/>
  <c r="D3" i="148" s="1"/>
  <c r="O33" i="73"/>
  <c r="G18" i="148" s="1"/>
  <c r="O34" i="73"/>
  <c r="G19" i="148" s="1"/>
  <c r="O32" i="73"/>
  <c r="G17" i="148" s="1"/>
  <c r="O31" i="73"/>
  <c r="G16" i="148" s="1"/>
  <c r="O30" i="73"/>
  <c r="G15" i="148" s="1"/>
  <c r="M33" i="73"/>
  <c r="G6" i="148" s="1"/>
  <c r="M34" i="73"/>
  <c r="G7" i="148" s="1"/>
  <c r="M32" i="73"/>
  <c r="G5" i="148" s="1"/>
  <c r="M31" i="73"/>
  <c r="G4" i="148" s="1"/>
  <c r="M30" i="73"/>
  <c r="G3" i="148" s="1"/>
  <c r="K25" i="73"/>
  <c r="K33"/>
  <c r="F12" i="148" s="1"/>
  <c r="K34" i="73"/>
  <c r="F13" i="148" s="1"/>
  <c r="K32" i="73"/>
  <c r="F11" i="148" s="1"/>
  <c r="K31" i="73"/>
  <c r="F10" i="148" s="1"/>
  <c r="K30" i="73"/>
  <c r="F9" i="148" s="1"/>
  <c r="I33" i="73"/>
  <c r="E18" i="148" s="1"/>
  <c r="I34" i="73"/>
  <c r="E19" i="148" s="1"/>
  <c r="I32" i="73"/>
  <c r="E17" i="148" s="1"/>
  <c r="I31" i="73"/>
  <c r="E16" i="148" s="1"/>
  <c r="I30" i="73"/>
  <c r="E15" i="148" s="1"/>
  <c r="G33" i="73"/>
  <c r="E6" i="148" s="1"/>
  <c r="G34" i="73"/>
  <c r="E7" i="148" s="1"/>
  <c r="G32" i="73"/>
  <c r="E5" i="148" s="1"/>
  <c r="G31" i="73"/>
  <c r="E4" i="148" s="1"/>
  <c r="G30" i="73"/>
  <c r="E3" i="148" s="1"/>
  <c r="E33" i="73"/>
  <c r="D12" i="148" s="1"/>
  <c r="E34" i="73"/>
  <c r="D13" i="148" s="1"/>
  <c r="E32" i="73"/>
  <c r="D11" i="148" s="1"/>
  <c r="E31" i="73"/>
  <c r="D10" i="148" s="1"/>
  <c r="E30" i="73"/>
  <c r="D9" i="148" s="1"/>
  <c r="I31" i="74"/>
  <c r="F31"/>
  <c r="H31"/>
  <c r="K31"/>
  <c r="N31"/>
  <c r="K20"/>
  <c r="K19"/>
  <c r="K18"/>
  <c r="N17"/>
  <c r="F24"/>
  <c r="H23"/>
  <c r="H24"/>
  <c r="F23"/>
  <c r="F22"/>
  <c r="F41" i="85"/>
  <c r="K17" i="73"/>
  <c r="K21"/>
  <c r="K13"/>
  <c r="K19"/>
  <c r="K15"/>
  <c r="K11"/>
  <c r="K5"/>
  <c r="K27"/>
  <c r="D44" i="82"/>
  <c r="F21" i="74"/>
  <c r="H22"/>
  <c r="F20"/>
  <c r="H21"/>
  <c r="H19"/>
  <c r="H20"/>
  <c r="F19"/>
  <c r="H18"/>
  <c r="F18"/>
  <c r="K7" i="73"/>
  <c r="J41" i="85"/>
  <c r="E5" i="73"/>
  <c r="D45" i="87"/>
  <c r="E36"/>
  <c r="D46"/>
  <c r="D48"/>
  <c r="I36"/>
  <c r="G36"/>
  <c r="K36"/>
  <c r="E28" i="89"/>
  <c r="E27"/>
  <c r="E26"/>
  <c r="K19"/>
  <c r="K30"/>
  <c r="K29"/>
  <c r="G19"/>
  <c r="G30"/>
  <c r="G29"/>
  <c r="I30"/>
  <c r="I29"/>
  <c r="E19"/>
  <c r="E30"/>
  <c r="E29"/>
  <c r="J31" i="74"/>
  <c r="L31"/>
  <c r="O24"/>
  <c r="M24"/>
  <c r="I24"/>
  <c r="G24"/>
  <c r="E24"/>
  <c r="O23"/>
  <c r="M23"/>
  <c r="F48" i="177" s="1"/>
  <c r="I23" i="74"/>
  <c r="G23"/>
  <c r="D48" i="177" s="1"/>
  <c r="E23" i="74"/>
  <c r="O22"/>
  <c r="M22"/>
  <c r="F47" i="177" s="1"/>
  <c r="I22" i="74"/>
  <c r="G22"/>
  <c r="D47" i="177" s="1"/>
  <c r="E22" i="74"/>
  <c r="O21"/>
  <c r="M21"/>
  <c r="F46" i="177" s="1"/>
  <c r="I21" i="74"/>
  <c r="G21"/>
  <c r="D46" i="177" s="1"/>
  <c r="E21" i="74"/>
  <c r="O20"/>
  <c r="L20"/>
  <c r="J20"/>
  <c r="E45" i="177" s="1"/>
  <c r="O19" i="74"/>
  <c r="L19"/>
  <c r="J19"/>
  <c r="E44" i="177" s="1"/>
  <c r="O18" i="74"/>
  <c r="L18"/>
  <c r="J18"/>
  <c r="E43" i="177" s="1"/>
  <c r="L16" i="74"/>
  <c r="J16"/>
  <c r="E41" i="177" s="1"/>
  <c r="M20" i="74"/>
  <c r="F45" i="177" s="1"/>
  <c r="I20" i="74"/>
  <c r="G20"/>
  <c r="D45" i="177" s="1"/>
  <c r="E20" i="74"/>
  <c r="M19"/>
  <c r="F44" i="177" s="1"/>
  <c r="I19" i="74"/>
  <c r="G19"/>
  <c r="D44" i="177" s="1"/>
  <c r="E19" i="74"/>
  <c r="M18"/>
  <c r="F43" i="177" s="1"/>
  <c r="I18" i="74"/>
  <c r="G18"/>
  <c r="D43" i="177" s="1"/>
  <c r="E18" i="74"/>
  <c r="L26" i="73"/>
  <c r="L28"/>
  <c r="L24"/>
  <c r="L8"/>
  <c r="L6"/>
  <c r="L4"/>
  <c r="J27"/>
  <c r="J25"/>
  <c r="J23"/>
  <c r="L27"/>
  <c r="L25"/>
  <c r="L23"/>
  <c r="I19" i="89"/>
  <c r="L14" i="77"/>
  <c r="E42" i="85"/>
  <c r="K43"/>
  <c r="D29" i="135"/>
  <c r="D28"/>
  <c r="D27"/>
  <c r="D26"/>
  <c r="D25"/>
  <c r="D24"/>
  <c r="D23"/>
  <c r="D22"/>
  <c r="D21"/>
  <c r="D20"/>
  <c r="D19"/>
  <c r="D18"/>
  <c r="D17"/>
  <c r="D16"/>
  <c r="D15"/>
  <c r="D14"/>
  <c r="D13"/>
  <c r="D12"/>
  <c r="D11"/>
  <c r="D10"/>
  <c r="D9"/>
  <c r="D8"/>
  <c r="D7"/>
  <c r="D6"/>
  <c r="D5"/>
  <c r="F29"/>
  <c r="F28"/>
  <c r="F27"/>
  <c r="F26"/>
  <c r="F25"/>
  <c r="F24"/>
  <c r="F23"/>
  <c r="F22"/>
  <c r="F21"/>
  <c r="F20"/>
  <c r="F19"/>
  <c r="F18"/>
  <c r="F17"/>
  <c r="F16"/>
  <c r="F15"/>
  <c r="F14"/>
  <c r="F13"/>
  <c r="F12"/>
  <c r="F11"/>
  <c r="F10"/>
  <c r="F9"/>
  <c r="F8"/>
  <c r="F7"/>
  <c r="F6"/>
  <c r="F5"/>
  <c r="H29"/>
  <c r="H28"/>
  <c r="H27"/>
  <c r="H26"/>
  <c r="H25"/>
  <c r="H24"/>
  <c r="H23"/>
  <c r="H22"/>
  <c r="H21"/>
  <c r="H20"/>
  <c r="H19"/>
  <c r="H18"/>
  <c r="H17"/>
  <c r="H16"/>
  <c r="H15"/>
  <c r="H14"/>
  <c r="H13"/>
  <c r="H12"/>
  <c r="H11"/>
  <c r="H10"/>
  <c r="H9"/>
  <c r="H8"/>
  <c r="H7"/>
  <c r="H6"/>
  <c r="H5"/>
  <c r="J29"/>
  <c r="J28"/>
  <c r="J27"/>
  <c r="J26"/>
  <c r="J25"/>
  <c r="J24"/>
  <c r="J23"/>
  <c r="J22"/>
  <c r="J21"/>
  <c r="J20"/>
  <c r="J19"/>
  <c r="J18"/>
  <c r="J17"/>
  <c r="J16"/>
  <c r="J15"/>
  <c r="J14"/>
  <c r="J13"/>
  <c r="J12"/>
  <c r="J11"/>
  <c r="J10"/>
  <c r="J9"/>
  <c r="J8"/>
  <c r="J7"/>
  <c r="J6"/>
  <c r="J5"/>
  <c r="D33" i="112"/>
  <c r="D29" i="125"/>
  <c r="D28"/>
  <c r="D27"/>
  <c r="D26"/>
  <c r="D25"/>
  <c r="D24"/>
  <c r="D23"/>
  <c r="D22"/>
  <c r="D21"/>
  <c r="D20"/>
  <c r="D19"/>
  <c r="D18"/>
  <c r="D17"/>
  <c r="D16"/>
  <c r="D15"/>
  <c r="D14"/>
  <c r="D13"/>
  <c r="D12"/>
  <c r="D11"/>
  <c r="D10"/>
  <c r="D9"/>
  <c r="D8"/>
  <c r="D7"/>
  <c r="D6"/>
  <c r="D5"/>
  <c r="F33" i="112"/>
  <c r="F29" i="125"/>
  <c r="F28"/>
  <c r="F27"/>
  <c r="F26"/>
  <c r="F25"/>
  <c r="F24"/>
  <c r="F23"/>
  <c r="F22"/>
  <c r="F21"/>
  <c r="F20"/>
  <c r="F19"/>
  <c r="F18"/>
  <c r="F17"/>
  <c r="F16"/>
  <c r="F15"/>
  <c r="F14"/>
  <c r="F13"/>
  <c r="F12"/>
  <c r="F11"/>
  <c r="F10"/>
  <c r="F9"/>
  <c r="F8"/>
  <c r="F7"/>
  <c r="F6"/>
  <c r="F5"/>
  <c r="H33" i="112"/>
  <c r="H29" i="125"/>
  <c r="H28"/>
  <c r="H27"/>
  <c r="H26"/>
  <c r="H25"/>
  <c r="H24"/>
  <c r="H23"/>
  <c r="H22"/>
  <c r="H21"/>
  <c r="H20"/>
  <c r="H19"/>
  <c r="H18"/>
  <c r="H17"/>
  <c r="H16"/>
  <c r="H15"/>
  <c r="H14"/>
  <c r="H13"/>
  <c r="H12"/>
  <c r="H11"/>
  <c r="H10"/>
  <c r="H9"/>
  <c r="H8"/>
  <c r="H7"/>
  <c r="H6"/>
  <c r="H5"/>
  <c r="J33" i="112"/>
  <c r="J29" i="125"/>
  <c r="J28"/>
  <c r="J27"/>
  <c r="J26"/>
  <c r="J25"/>
  <c r="J24"/>
  <c r="J23"/>
  <c r="J22"/>
  <c r="J21"/>
  <c r="J20"/>
  <c r="J19"/>
  <c r="J18"/>
  <c r="J17"/>
  <c r="J16"/>
  <c r="J15"/>
  <c r="J14"/>
  <c r="J13"/>
  <c r="J12"/>
  <c r="J11"/>
  <c r="J10"/>
  <c r="J9"/>
  <c r="J8"/>
  <c r="J7"/>
  <c r="J6"/>
  <c r="J5"/>
  <c r="D29" i="124"/>
  <c r="D28"/>
  <c r="D27"/>
  <c r="D26"/>
  <c r="D25"/>
  <c r="D24"/>
  <c r="D23"/>
  <c r="D22"/>
  <c r="D21"/>
  <c r="D20"/>
  <c r="D19"/>
  <c r="D18"/>
  <c r="D17"/>
  <c r="D16"/>
  <c r="D15"/>
  <c r="D14"/>
  <c r="D13"/>
  <c r="D12"/>
  <c r="D11"/>
  <c r="D10"/>
  <c r="D9"/>
  <c r="D8"/>
  <c r="D7"/>
  <c r="D6"/>
  <c r="D5"/>
  <c r="F29"/>
  <c r="F28"/>
  <c r="F27"/>
  <c r="F26"/>
  <c r="F25"/>
  <c r="F24"/>
  <c r="F23"/>
  <c r="F22"/>
  <c r="F21"/>
  <c r="F20"/>
  <c r="F19"/>
  <c r="F18"/>
  <c r="F17"/>
  <c r="F16"/>
  <c r="F15"/>
  <c r="F14"/>
  <c r="F13"/>
  <c r="F12"/>
  <c r="F11"/>
  <c r="F10"/>
  <c r="F9"/>
  <c r="F8"/>
  <c r="F7"/>
  <c r="F6"/>
  <c r="F5"/>
  <c r="H29"/>
  <c r="H28"/>
  <c r="H27"/>
  <c r="H26"/>
  <c r="H25"/>
  <c r="H24"/>
  <c r="H23"/>
  <c r="H22"/>
  <c r="H21"/>
  <c r="H20"/>
  <c r="H19"/>
  <c r="H18"/>
  <c r="H17"/>
  <c r="H16"/>
  <c r="H15"/>
  <c r="H14"/>
  <c r="H13"/>
  <c r="H12"/>
  <c r="H11"/>
  <c r="H10"/>
  <c r="H9"/>
  <c r="H8"/>
  <c r="H7"/>
  <c r="H6"/>
  <c r="H5"/>
  <c r="J29"/>
  <c r="J28"/>
  <c r="J27"/>
  <c r="J26"/>
  <c r="J25"/>
  <c r="J24"/>
  <c r="J23"/>
  <c r="J22"/>
  <c r="J21"/>
  <c r="J20"/>
  <c r="J19"/>
  <c r="J18"/>
  <c r="J17"/>
  <c r="J16"/>
  <c r="J15"/>
  <c r="J14"/>
  <c r="J13"/>
  <c r="J12"/>
  <c r="J11"/>
  <c r="J10"/>
  <c r="J9"/>
  <c r="J8"/>
  <c r="J7"/>
  <c r="J6"/>
  <c r="J5"/>
  <c r="J33" i="118"/>
  <c r="J29" i="126"/>
  <c r="J28"/>
  <c r="J27"/>
  <c r="J26"/>
  <c r="J25"/>
  <c r="J24"/>
  <c r="J23"/>
  <c r="J22"/>
  <c r="J21"/>
  <c r="J20"/>
  <c r="J19"/>
  <c r="J18"/>
  <c r="J17"/>
  <c r="J16"/>
  <c r="J15"/>
  <c r="J14"/>
  <c r="J13"/>
  <c r="J12"/>
  <c r="J11"/>
  <c r="J10"/>
  <c r="J9"/>
  <c r="J8"/>
  <c r="J7"/>
  <c r="J6"/>
  <c r="J5"/>
  <c r="H33" i="118"/>
  <c r="H29" i="126"/>
  <c r="H28"/>
  <c r="H27"/>
  <c r="H26"/>
  <c r="H25"/>
  <c r="H24"/>
  <c r="H23"/>
  <c r="H22"/>
  <c r="H21"/>
  <c r="H20"/>
  <c r="H19"/>
  <c r="H18"/>
  <c r="H17"/>
  <c r="H16"/>
  <c r="H15"/>
  <c r="H14"/>
  <c r="H13"/>
  <c r="H12"/>
  <c r="H11"/>
  <c r="H10"/>
  <c r="H9"/>
  <c r="H8"/>
  <c r="H7"/>
  <c r="H6"/>
  <c r="H5"/>
  <c r="F33" i="118"/>
  <c r="F29" i="126"/>
  <c r="F28"/>
  <c r="F27"/>
  <c r="F26"/>
  <c r="F25"/>
  <c r="F24"/>
  <c r="F23"/>
  <c r="F22"/>
  <c r="F21"/>
  <c r="F20"/>
  <c r="F19"/>
  <c r="F18"/>
  <c r="F17"/>
  <c r="F16"/>
  <c r="F15"/>
  <c r="F14"/>
  <c r="F13"/>
  <c r="F12"/>
  <c r="F11"/>
  <c r="F10"/>
  <c r="F9"/>
  <c r="F8"/>
  <c r="F7"/>
  <c r="F6"/>
  <c r="F5"/>
  <c r="D33" i="118"/>
  <c r="D29" i="126"/>
  <c r="D28"/>
  <c r="D27"/>
  <c r="D26"/>
  <c r="D25"/>
  <c r="D24"/>
  <c r="D23"/>
  <c r="D22"/>
  <c r="D21"/>
  <c r="D20"/>
  <c r="D19"/>
  <c r="D18"/>
  <c r="D17"/>
  <c r="D16"/>
  <c r="D15"/>
  <c r="D14"/>
  <c r="D13"/>
  <c r="D12"/>
  <c r="D11"/>
  <c r="D10"/>
  <c r="D9"/>
  <c r="D8"/>
  <c r="D7"/>
  <c r="D6"/>
  <c r="D5"/>
  <c r="J33" i="113"/>
  <c r="J29" i="127"/>
  <c r="J28"/>
  <c r="J27"/>
  <c r="J26"/>
  <c r="J25"/>
  <c r="J24"/>
  <c r="J23"/>
  <c r="J22"/>
  <c r="J21"/>
  <c r="J20"/>
  <c r="J19"/>
  <c r="J18"/>
  <c r="J17"/>
  <c r="J16"/>
  <c r="J15"/>
  <c r="J14"/>
  <c r="J13"/>
  <c r="J12"/>
  <c r="J11"/>
  <c r="J10"/>
  <c r="J9"/>
  <c r="J8"/>
  <c r="J7"/>
  <c r="J6"/>
  <c r="J5"/>
  <c r="H33" i="113"/>
  <c r="H29" i="127"/>
  <c r="H28"/>
  <c r="H27"/>
  <c r="H26"/>
  <c r="H25"/>
  <c r="H24"/>
  <c r="H23"/>
  <c r="H22"/>
  <c r="H21"/>
  <c r="H20"/>
  <c r="H19"/>
  <c r="H18"/>
  <c r="H17"/>
  <c r="H16"/>
  <c r="H15"/>
  <c r="H14"/>
  <c r="H13"/>
  <c r="H12"/>
  <c r="H11"/>
  <c r="H10"/>
  <c r="H9"/>
  <c r="H8"/>
  <c r="H7"/>
  <c r="H6"/>
  <c r="H5"/>
  <c r="F33" i="113"/>
  <c r="F29" i="127"/>
  <c r="F28"/>
  <c r="F27"/>
  <c r="F26"/>
  <c r="F25"/>
  <c r="F24"/>
  <c r="F23"/>
  <c r="F22"/>
  <c r="F21"/>
  <c r="F20"/>
  <c r="F19"/>
  <c r="F18"/>
  <c r="F17"/>
  <c r="F16"/>
  <c r="F15"/>
  <c r="F14"/>
  <c r="F13"/>
  <c r="F12"/>
  <c r="F11"/>
  <c r="F10"/>
  <c r="F9"/>
  <c r="F8"/>
  <c r="F7"/>
  <c r="F6"/>
  <c r="F5"/>
  <c r="D33" i="113"/>
  <c r="D29" i="127"/>
  <c r="D28"/>
  <c r="D27"/>
  <c r="D26"/>
  <c r="D25"/>
  <c r="D24"/>
  <c r="D23"/>
  <c r="D22"/>
  <c r="D21"/>
  <c r="D20"/>
  <c r="D19"/>
  <c r="D18"/>
  <c r="D17"/>
  <c r="D16"/>
  <c r="D15"/>
  <c r="D14"/>
  <c r="D13"/>
  <c r="D12"/>
  <c r="D11"/>
  <c r="D10"/>
  <c r="D9"/>
  <c r="D8"/>
  <c r="D7"/>
  <c r="D6"/>
  <c r="D5"/>
  <c r="J33" i="114"/>
  <c r="J29" i="128"/>
  <c r="J28"/>
  <c r="J27"/>
  <c r="J26"/>
  <c r="J25"/>
  <c r="J24"/>
  <c r="J23"/>
  <c r="J22"/>
  <c r="J21"/>
  <c r="J20"/>
  <c r="J19"/>
  <c r="J18"/>
  <c r="J17"/>
  <c r="J16"/>
  <c r="J15"/>
  <c r="J14"/>
  <c r="J13"/>
  <c r="J12"/>
  <c r="J11"/>
  <c r="J10"/>
  <c r="J9"/>
  <c r="J8"/>
  <c r="J7"/>
  <c r="J6"/>
  <c r="J5"/>
  <c r="H33" i="114"/>
  <c r="H29" i="128"/>
  <c r="H28"/>
  <c r="H27"/>
  <c r="H26"/>
  <c r="H25"/>
  <c r="H24"/>
  <c r="H23"/>
  <c r="H22"/>
  <c r="H21"/>
  <c r="H20"/>
  <c r="H19"/>
  <c r="H18"/>
  <c r="H17"/>
  <c r="H16"/>
  <c r="H15"/>
  <c r="H14"/>
  <c r="H13"/>
  <c r="H12"/>
  <c r="H11"/>
  <c r="H10"/>
  <c r="H9"/>
  <c r="H8"/>
  <c r="H7"/>
  <c r="H6"/>
  <c r="H5"/>
  <c r="F33" i="114"/>
  <c r="F29" i="128"/>
  <c r="F28"/>
  <c r="F27"/>
  <c r="F26"/>
  <c r="F25"/>
  <c r="F24"/>
  <c r="F23"/>
  <c r="F22"/>
  <c r="F21"/>
  <c r="F20"/>
  <c r="F19"/>
  <c r="F18"/>
  <c r="F17"/>
  <c r="F16"/>
  <c r="F15"/>
  <c r="F14"/>
  <c r="F13"/>
  <c r="F12"/>
  <c r="F11"/>
  <c r="F10"/>
  <c r="F9"/>
  <c r="F8"/>
  <c r="F7"/>
  <c r="F6"/>
  <c r="F5"/>
  <c r="D33" i="114"/>
  <c r="D29" i="128"/>
  <c r="D28"/>
  <c r="D27"/>
  <c r="D26"/>
  <c r="D25"/>
  <c r="D24"/>
  <c r="D23"/>
  <c r="D22"/>
  <c r="D21"/>
  <c r="D20"/>
  <c r="D19"/>
  <c r="D18"/>
  <c r="D17"/>
  <c r="D16"/>
  <c r="D15"/>
  <c r="D14"/>
  <c r="D13"/>
  <c r="D12"/>
  <c r="D11"/>
  <c r="D10"/>
  <c r="D9"/>
  <c r="D8"/>
  <c r="D7"/>
  <c r="D6"/>
  <c r="D5"/>
  <c r="J33" i="104"/>
  <c r="J29" i="129"/>
  <c r="J28"/>
  <c r="J27"/>
  <c r="J26"/>
  <c r="J25"/>
  <c r="J24"/>
  <c r="J23"/>
  <c r="J22"/>
  <c r="J21"/>
  <c r="J20"/>
  <c r="J19"/>
  <c r="J18"/>
  <c r="J17"/>
  <c r="J16"/>
  <c r="J15"/>
  <c r="J14"/>
  <c r="J13"/>
  <c r="J12"/>
  <c r="J11"/>
  <c r="J10"/>
  <c r="J9"/>
  <c r="J8"/>
  <c r="J7"/>
  <c r="J6"/>
  <c r="J5"/>
  <c r="H33" i="104"/>
  <c r="H29" i="129"/>
  <c r="H28"/>
  <c r="H27"/>
  <c r="H26"/>
  <c r="H25"/>
  <c r="H24"/>
  <c r="H23"/>
  <c r="H22"/>
  <c r="H21"/>
  <c r="H20"/>
  <c r="H19"/>
  <c r="H18"/>
  <c r="H17"/>
  <c r="H16"/>
  <c r="H15"/>
  <c r="H14"/>
  <c r="H13"/>
  <c r="H12"/>
  <c r="H11"/>
  <c r="H10"/>
  <c r="H9"/>
  <c r="H8"/>
  <c r="H7"/>
  <c r="H6"/>
  <c r="H5"/>
  <c r="F33" i="104"/>
  <c r="F29" i="129"/>
  <c r="F28"/>
  <c r="F27"/>
  <c r="F26"/>
  <c r="F25"/>
  <c r="F24"/>
  <c r="F23"/>
  <c r="F22"/>
  <c r="F21"/>
  <c r="F20"/>
  <c r="F19"/>
  <c r="F18"/>
  <c r="F17"/>
  <c r="F16"/>
  <c r="F15"/>
  <c r="F14"/>
  <c r="F13"/>
  <c r="F12"/>
  <c r="F11"/>
  <c r="F10"/>
  <c r="F9"/>
  <c r="F8"/>
  <c r="F7"/>
  <c r="F6"/>
  <c r="F5"/>
  <c r="D33" i="104"/>
  <c r="D29" i="129"/>
  <c r="D28"/>
  <c r="D27"/>
  <c r="D26"/>
  <c r="D25"/>
  <c r="D24"/>
  <c r="D23"/>
  <c r="D22"/>
  <c r="D21"/>
  <c r="D20"/>
  <c r="D19"/>
  <c r="D18"/>
  <c r="D17"/>
  <c r="D16"/>
  <c r="D15"/>
  <c r="D14"/>
  <c r="D13"/>
  <c r="D12"/>
  <c r="D11"/>
  <c r="D10"/>
  <c r="D9"/>
  <c r="D8"/>
  <c r="D7"/>
  <c r="D6"/>
  <c r="D5"/>
  <c r="J33" i="110"/>
  <c r="J29" i="130"/>
  <c r="J28"/>
  <c r="J27"/>
  <c r="J26"/>
  <c r="J25"/>
  <c r="J24"/>
  <c r="J23"/>
  <c r="J22"/>
  <c r="J21"/>
  <c r="J20"/>
  <c r="J19"/>
  <c r="J18"/>
  <c r="J17"/>
  <c r="J16"/>
  <c r="J15"/>
  <c r="J14"/>
  <c r="J13"/>
  <c r="J12"/>
  <c r="J11"/>
  <c r="J10"/>
  <c r="J9"/>
  <c r="J8"/>
  <c r="J7"/>
  <c r="J6"/>
  <c r="J5"/>
  <c r="H33" i="110"/>
  <c r="H29" i="130"/>
  <c r="H28"/>
  <c r="H27"/>
  <c r="H26"/>
  <c r="H25"/>
  <c r="H24"/>
  <c r="H23"/>
  <c r="H22"/>
  <c r="H21"/>
  <c r="H20"/>
  <c r="H19"/>
  <c r="H18"/>
  <c r="H17"/>
  <c r="H16"/>
  <c r="H15"/>
  <c r="H14"/>
  <c r="H13"/>
  <c r="H12"/>
  <c r="H11"/>
  <c r="H10"/>
  <c r="H9"/>
  <c r="H8"/>
  <c r="H7"/>
  <c r="H6"/>
  <c r="H5"/>
  <c r="F33" i="110"/>
  <c r="F29" i="130"/>
  <c r="F28"/>
  <c r="F27"/>
  <c r="F26"/>
  <c r="F25"/>
  <c r="F24"/>
  <c r="F23"/>
  <c r="F22"/>
  <c r="F21"/>
  <c r="F20"/>
  <c r="F19"/>
  <c r="F18"/>
  <c r="F17"/>
  <c r="F16"/>
  <c r="F15"/>
  <c r="F14"/>
  <c r="F13"/>
  <c r="F12"/>
  <c r="F11"/>
  <c r="F10"/>
  <c r="F9"/>
  <c r="F8"/>
  <c r="F7"/>
  <c r="F6"/>
  <c r="F5"/>
  <c r="D33" i="110"/>
  <c r="D29" i="130"/>
  <c r="D28"/>
  <c r="D27"/>
  <c r="D26"/>
  <c r="D25"/>
  <c r="D24"/>
  <c r="D23"/>
  <c r="D22"/>
  <c r="D21"/>
  <c r="D20"/>
  <c r="D19"/>
  <c r="D18"/>
  <c r="D17"/>
  <c r="D16"/>
  <c r="D15"/>
  <c r="D14"/>
  <c r="D13"/>
  <c r="D12"/>
  <c r="D11"/>
  <c r="D10"/>
  <c r="D9"/>
  <c r="D8"/>
  <c r="D7"/>
  <c r="D6"/>
  <c r="D5"/>
  <c r="J29" i="132"/>
  <c r="J28"/>
  <c r="J27"/>
  <c r="J26"/>
  <c r="J25"/>
  <c r="J24"/>
  <c r="J23"/>
  <c r="J22"/>
  <c r="J21"/>
  <c r="J20"/>
  <c r="J19"/>
  <c r="J18"/>
  <c r="J17"/>
  <c r="J16"/>
  <c r="J15"/>
  <c r="J14"/>
  <c r="J13"/>
  <c r="J12"/>
  <c r="J11"/>
  <c r="J10"/>
  <c r="J9"/>
  <c r="J8"/>
  <c r="J7"/>
  <c r="J6"/>
  <c r="J5"/>
  <c r="H29"/>
  <c r="H28"/>
  <c r="H27"/>
  <c r="H26"/>
  <c r="H25"/>
  <c r="H24"/>
  <c r="H23"/>
  <c r="H22"/>
  <c r="H21"/>
  <c r="H20"/>
  <c r="H19"/>
  <c r="H18"/>
  <c r="H17"/>
  <c r="H16"/>
  <c r="H15"/>
  <c r="H14"/>
  <c r="H13"/>
  <c r="H12"/>
  <c r="H11"/>
  <c r="H10"/>
  <c r="H9"/>
  <c r="H8"/>
  <c r="H7"/>
  <c r="H6"/>
  <c r="H5"/>
  <c r="F29"/>
  <c r="F28"/>
  <c r="F27"/>
  <c r="F26"/>
  <c r="F25"/>
  <c r="F24"/>
  <c r="F23"/>
  <c r="F22"/>
  <c r="F21"/>
  <c r="F20"/>
  <c r="F19"/>
  <c r="F18"/>
  <c r="F17"/>
  <c r="F16"/>
  <c r="F15"/>
  <c r="F14"/>
  <c r="F13"/>
  <c r="F12"/>
  <c r="F11"/>
  <c r="F10"/>
  <c r="F9"/>
  <c r="F8"/>
  <c r="F7"/>
  <c r="F6"/>
  <c r="F5"/>
  <c r="D29"/>
  <c r="D28"/>
  <c r="D27"/>
  <c r="D26"/>
  <c r="D25"/>
  <c r="D24"/>
  <c r="D23"/>
  <c r="D22"/>
  <c r="D21"/>
  <c r="D20"/>
  <c r="D19"/>
  <c r="D18"/>
  <c r="D17"/>
  <c r="D16"/>
  <c r="D15"/>
  <c r="D14"/>
  <c r="D13"/>
  <c r="D12"/>
  <c r="D11"/>
  <c r="D10"/>
  <c r="D9"/>
  <c r="D8"/>
  <c r="D7"/>
  <c r="D6"/>
  <c r="D5"/>
  <c r="E33" i="100"/>
  <c r="E29" i="133"/>
  <c r="E28"/>
  <c r="E27"/>
  <c r="E26"/>
  <c r="E25"/>
  <c r="E24"/>
  <c r="E23"/>
  <c r="E22"/>
  <c r="E21"/>
  <c r="E20"/>
  <c r="E19"/>
  <c r="E18"/>
  <c r="E17"/>
  <c r="E16"/>
  <c r="E15"/>
  <c r="E14"/>
  <c r="E13"/>
  <c r="E12"/>
  <c r="E11"/>
  <c r="E10"/>
  <c r="E9"/>
  <c r="E8"/>
  <c r="E7"/>
  <c r="E6"/>
  <c r="E5"/>
  <c r="G33" i="100"/>
  <c r="G29" i="133"/>
  <c r="G28"/>
  <c r="G27"/>
  <c r="G26"/>
  <c r="G25"/>
  <c r="G24"/>
  <c r="G23"/>
  <c r="G22"/>
  <c r="G21"/>
  <c r="G20"/>
  <c r="G19"/>
  <c r="G18"/>
  <c r="G17"/>
  <c r="G16"/>
  <c r="G15"/>
  <c r="G14"/>
  <c r="G13"/>
  <c r="G12"/>
  <c r="G11"/>
  <c r="G10"/>
  <c r="G9"/>
  <c r="G8"/>
  <c r="G7"/>
  <c r="G6"/>
  <c r="G5"/>
  <c r="I33" i="100"/>
  <c r="I29" i="133"/>
  <c r="I28"/>
  <c r="I27"/>
  <c r="I26"/>
  <c r="I25"/>
  <c r="I24"/>
  <c r="I23"/>
  <c r="I22"/>
  <c r="I21"/>
  <c r="I20"/>
  <c r="I19"/>
  <c r="I18"/>
  <c r="I17"/>
  <c r="I16"/>
  <c r="I15"/>
  <c r="I14"/>
  <c r="I13"/>
  <c r="I12"/>
  <c r="I11"/>
  <c r="I10"/>
  <c r="I9"/>
  <c r="I8"/>
  <c r="I7"/>
  <c r="I6"/>
  <c r="I5"/>
  <c r="K33" i="100"/>
  <c r="K29" i="133"/>
  <c r="K28"/>
  <c r="K27"/>
  <c r="K26"/>
  <c r="K25"/>
  <c r="K24"/>
  <c r="K23"/>
  <c r="K22"/>
  <c r="K21"/>
  <c r="K20"/>
  <c r="K19"/>
  <c r="K18"/>
  <c r="K17"/>
  <c r="K16"/>
  <c r="K15"/>
  <c r="K14"/>
  <c r="K13"/>
  <c r="K12"/>
  <c r="K11"/>
  <c r="K10"/>
  <c r="K9"/>
  <c r="K8"/>
  <c r="K7"/>
  <c r="K6"/>
  <c r="K5"/>
  <c r="J33" i="137"/>
  <c r="J29" i="138"/>
  <c r="J28"/>
  <c r="J27"/>
  <c r="J26"/>
  <c r="J25"/>
  <c r="J24"/>
  <c r="J23"/>
  <c r="J22"/>
  <c r="J21"/>
  <c r="J20"/>
  <c r="J19"/>
  <c r="J18"/>
  <c r="J17"/>
  <c r="J16"/>
  <c r="J15"/>
  <c r="J14"/>
  <c r="J13"/>
  <c r="J12"/>
  <c r="J11"/>
  <c r="J10"/>
  <c r="J9"/>
  <c r="J8"/>
  <c r="J7"/>
  <c r="J6"/>
  <c r="J5"/>
  <c r="H33" i="137"/>
  <c r="H29" i="138"/>
  <c r="H28"/>
  <c r="H27"/>
  <c r="H26"/>
  <c r="H25"/>
  <c r="H24"/>
  <c r="H23"/>
  <c r="H22"/>
  <c r="H21"/>
  <c r="H20"/>
  <c r="H19"/>
  <c r="H18"/>
  <c r="H17"/>
  <c r="H16"/>
  <c r="H15"/>
  <c r="H14"/>
  <c r="H13"/>
  <c r="H12"/>
  <c r="H11"/>
  <c r="H10"/>
  <c r="H9"/>
  <c r="H8"/>
  <c r="H7"/>
  <c r="H6"/>
  <c r="H5"/>
  <c r="F33" i="137"/>
  <c r="F29" i="138"/>
  <c r="F28"/>
  <c r="F27"/>
  <c r="F26"/>
  <c r="F25"/>
  <c r="F24"/>
  <c r="F23"/>
  <c r="F22"/>
  <c r="F21"/>
  <c r="F20"/>
  <c r="F19"/>
  <c r="F18"/>
  <c r="F17"/>
  <c r="F16"/>
  <c r="F15"/>
  <c r="F14"/>
  <c r="F13"/>
  <c r="F12"/>
  <c r="F11"/>
  <c r="F10"/>
  <c r="F9"/>
  <c r="F8"/>
  <c r="F7"/>
  <c r="F6"/>
  <c r="F5"/>
  <c r="D33" i="137"/>
  <c r="D29" i="138"/>
  <c r="D28"/>
  <c r="D27"/>
  <c r="D26"/>
  <c r="D25"/>
  <c r="D24"/>
  <c r="D23"/>
  <c r="D22"/>
  <c r="D21"/>
  <c r="D20"/>
  <c r="D19"/>
  <c r="D18"/>
  <c r="D17"/>
  <c r="D16"/>
  <c r="D15"/>
  <c r="D14"/>
  <c r="D13"/>
  <c r="D12"/>
  <c r="D11"/>
  <c r="D10"/>
  <c r="D9"/>
  <c r="D8"/>
  <c r="D7"/>
  <c r="D6"/>
  <c r="D5"/>
  <c r="E29" i="135"/>
  <c r="E28"/>
  <c r="E27"/>
  <c r="E26"/>
  <c r="E25"/>
  <c r="E24"/>
  <c r="E23"/>
  <c r="E22"/>
  <c r="E21"/>
  <c r="E20"/>
  <c r="E19"/>
  <c r="E18"/>
  <c r="E17"/>
  <c r="E16"/>
  <c r="E15"/>
  <c r="E14"/>
  <c r="E13"/>
  <c r="E12"/>
  <c r="E11"/>
  <c r="E10"/>
  <c r="E9"/>
  <c r="E8"/>
  <c r="E7"/>
  <c r="E6"/>
  <c r="E5"/>
  <c r="G29"/>
  <c r="G28"/>
  <c r="G27"/>
  <c r="G26"/>
  <c r="G25"/>
  <c r="G24"/>
  <c r="G23"/>
  <c r="G22"/>
  <c r="G21"/>
  <c r="G20"/>
  <c r="G19"/>
  <c r="G18"/>
  <c r="G17"/>
  <c r="G16"/>
  <c r="G15"/>
  <c r="G14"/>
  <c r="G13"/>
  <c r="G12"/>
  <c r="G11"/>
  <c r="G10"/>
  <c r="G9"/>
  <c r="G8"/>
  <c r="G7"/>
  <c r="G6"/>
  <c r="G5"/>
  <c r="I29"/>
  <c r="I28"/>
  <c r="I27"/>
  <c r="I26"/>
  <c r="I25"/>
  <c r="I24"/>
  <c r="I23"/>
  <c r="I22"/>
  <c r="I21"/>
  <c r="I20"/>
  <c r="I19"/>
  <c r="I18"/>
  <c r="I17"/>
  <c r="I16"/>
  <c r="I15"/>
  <c r="I14"/>
  <c r="I13"/>
  <c r="I12"/>
  <c r="I11"/>
  <c r="I10"/>
  <c r="I9"/>
  <c r="I8"/>
  <c r="I7"/>
  <c r="I6"/>
  <c r="I5"/>
  <c r="K29"/>
  <c r="K28"/>
  <c r="K27"/>
  <c r="K26"/>
  <c r="K25"/>
  <c r="K24"/>
  <c r="K23"/>
  <c r="K22"/>
  <c r="K21"/>
  <c r="K20"/>
  <c r="K19"/>
  <c r="K18"/>
  <c r="K17"/>
  <c r="K16"/>
  <c r="K15"/>
  <c r="K14"/>
  <c r="K13"/>
  <c r="K12"/>
  <c r="K11"/>
  <c r="K10"/>
  <c r="K9"/>
  <c r="K8"/>
  <c r="K7"/>
  <c r="K6"/>
  <c r="K5"/>
  <c r="E33" i="112"/>
  <c r="E29" i="125"/>
  <c r="E28"/>
  <c r="E27"/>
  <c r="E26"/>
  <c r="E25"/>
  <c r="E24"/>
  <c r="E23"/>
  <c r="E22"/>
  <c r="E21"/>
  <c r="E20"/>
  <c r="E19"/>
  <c r="E18"/>
  <c r="E17"/>
  <c r="E16"/>
  <c r="E15"/>
  <c r="E14"/>
  <c r="E13"/>
  <c r="E12"/>
  <c r="E11"/>
  <c r="E10"/>
  <c r="E9"/>
  <c r="E8"/>
  <c r="E7"/>
  <c r="E6"/>
  <c r="E5"/>
  <c r="G33" i="112"/>
  <c r="G8" i="125"/>
  <c r="G7"/>
  <c r="G6"/>
  <c r="G5"/>
  <c r="G29"/>
  <c r="G28"/>
  <c r="G27"/>
  <c r="G26"/>
  <c r="G25"/>
  <c r="G24"/>
  <c r="G23"/>
  <c r="G22"/>
  <c r="G21"/>
  <c r="G20"/>
  <c r="G19"/>
  <c r="G18"/>
  <c r="G17"/>
  <c r="G16"/>
  <c r="G15"/>
  <c r="G14"/>
  <c r="G13"/>
  <c r="G12"/>
  <c r="G11"/>
  <c r="G10"/>
  <c r="G9"/>
  <c r="I33" i="112"/>
  <c r="I29" i="125"/>
  <c r="I28"/>
  <c r="I27"/>
  <c r="I26"/>
  <c r="I25"/>
  <c r="I24"/>
  <c r="I23"/>
  <c r="I22"/>
  <c r="I21"/>
  <c r="I20"/>
  <c r="I19"/>
  <c r="I18"/>
  <c r="I17"/>
  <c r="I16"/>
  <c r="I15"/>
  <c r="I14"/>
  <c r="I13"/>
  <c r="I12"/>
  <c r="I11"/>
  <c r="I10"/>
  <c r="I9"/>
  <c r="I8"/>
  <c r="I7"/>
  <c r="I6"/>
  <c r="I5"/>
  <c r="K33" i="112"/>
  <c r="K7" i="125"/>
  <c r="K6"/>
  <c r="K5"/>
  <c r="K29"/>
  <c r="K28"/>
  <c r="K27"/>
  <c r="K26"/>
  <c r="K25"/>
  <c r="K24"/>
  <c r="K23"/>
  <c r="K22"/>
  <c r="K21"/>
  <c r="K20"/>
  <c r="K19"/>
  <c r="K18"/>
  <c r="K17"/>
  <c r="K16"/>
  <c r="K15"/>
  <c r="K14"/>
  <c r="K13"/>
  <c r="K12"/>
  <c r="K11"/>
  <c r="K10"/>
  <c r="K9"/>
  <c r="K8"/>
  <c r="E29" i="124"/>
  <c r="E28"/>
  <c r="E27"/>
  <c r="E26"/>
  <c r="E25"/>
  <c r="E24"/>
  <c r="E23"/>
  <c r="E22"/>
  <c r="E21"/>
  <c r="E20"/>
  <c r="E19"/>
  <c r="E18"/>
  <c r="E17"/>
  <c r="E16"/>
  <c r="E15"/>
  <c r="E14"/>
  <c r="E13"/>
  <c r="E12"/>
  <c r="E11"/>
  <c r="E10"/>
  <c r="E9"/>
  <c r="E8"/>
  <c r="E7"/>
  <c r="E6"/>
  <c r="E5"/>
  <c r="G29"/>
  <c r="G28"/>
  <c r="G27"/>
  <c r="G26"/>
  <c r="G25"/>
  <c r="G24"/>
  <c r="G23"/>
  <c r="G22"/>
  <c r="G21"/>
  <c r="G20"/>
  <c r="G19"/>
  <c r="G18"/>
  <c r="G17"/>
  <c r="G16"/>
  <c r="G15"/>
  <c r="G14"/>
  <c r="G13"/>
  <c r="G12"/>
  <c r="G11"/>
  <c r="G10"/>
  <c r="G9"/>
  <c r="G8"/>
  <c r="G7"/>
  <c r="G6"/>
  <c r="G5"/>
  <c r="I29"/>
  <c r="I28"/>
  <c r="I27"/>
  <c r="I26"/>
  <c r="I25"/>
  <c r="I24"/>
  <c r="I23"/>
  <c r="I22"/>
  <c r="I21"/>
  <c r="I20"/>
  <c r="I19"/>
  <c r="I18"/>
  <c r="I17"/>
  <c r="I16"/>
  <c r="I15"/>
  <c r="I14"/>
  <c r="I13"/>
  <c r="I12"/>
  <c r="I11"/>
  <c r="I10"/>
  <c r="I9"/>
  <c r="I8"/>
  <c r="I7"/>
  <c r="I6"/>
  <c r="I5"/>
  <c r="K29"/>
  <c r="K28"/>
  <c r="K27"/>
  <c r="K26"/>
  <c r="K25"/>
  <c r="K24"/>
  <c r="K23"/>
  <c r="K22"/>
  <c r="K21"/>
  <c r="K20"/>
  <c r="K19"/>
  <c r="K18"/>
  <c r="K17"/>
  <c r="K16"/>
  <c r="K15"/>
  <c r="K14"/>
  <c r="K13"/>
  <c r="K12"/>
  <c r="K11"/>
  <c r="K10"/>
  <c r="K9"/>
  <c r="K8"/>
  <c r="K7"/>
  <c r="K6"/>
  <c r="K5"/>
  <c r="K33" i="118"/>
  <c r="K29" i="126"/>
  <c r="K28"/>
  <c r="K27"/>
  <c r="K26"/>
  <c r="K25"/>
  <c r="K24"/>
  <c r="K23"/>
  <c r="K22"/>
  <c r="K21"/>
  <c r="K20"/>
  <c r="K19"/>
  <c r="K18"/>
  <c r="K17"/>
  <c r="K16"/>
  <c r="K15"/>
  <c r="K14"/>
  <c r="K13"/>
  <c r="K12"/>
  <c r="K11"/>
  <c r="K10"/>
  <c r="K9"/>
  <c r="K8"/>
  <c r="K7"/>
  <c r="K6"/>
  <c r="K5"/>
  <c r="I33" i="118"/>
  <c r="I29" i="126"/>
  <c r="I28"/>
  <c r="I27"/>
  <c r="I26"/>
  <c r="I25"/>
  <c r="I24"/>
  <c r="I23"/>
  <c r="I22"/>
  <c r="I21"/>
  <c r="I20"/>
  <c r="I19"/>
  <c r="I18"/>
  <c r="I17"/>
  <c r="I16"/>
  <c r="I15"/>
  <c r="I14"/>
  <c r="I13"/>
  <c r="I12"/>
  <c r="I11"/>
  <c r="I10"/>
  <c r="I9"/>
  <c r="I8"/>
  <c r="I7"/>
  <c r="I6"/>
  <c r="I5"/>
  <c r="G33" i="118"/>
  <c r="G29" i="126"/>
  <c r="G28"/>
  <c r="G27"/>
  <c r="G26"/>
  <c r="G25"/>
  <c r="G24"/>
  <c r="G23"/>
  <c r="G22"/>
  <c r="G21"/>
  <c r="G20"/>
  <c r="G19"/>
  <c r="G18"/>
  <c r="G17"/>
  <c r="G16"/>
  <c r="G15"/>
  <c r="G14"/>
  <c r="G13"/>
  <c r="G12"/>
  <c r="G11"/>
  <c r="G10"/>
  <c r="G9"/>
  <c r="G8"/>
  <c r="G7"/>
  <c r="G6"/>
  <c r="G5"/>
  <c r="E33" i="118"/>
  <c r="E29" i="126"/>
  <c r="E28"/>
  <c r="E27"/>
  <c r="E26"/>
  <c r="E25"/>
  <c r="E24"/>
  <c r="E23"/>
  <c r="E22"/>
  <c r="E21"/>
  <c r="E20"/>
  <c r="E19"/>
  <c r="E18"/>
  <c r="E17"/>
  <c r="E16"/>
  <c r="E15"/>
  <c r="E14"/>
  <c r="E13"/>
  <c r="E12"/>
  <c r="E11"/>
  <c r="E10"/>
  <c r="E9"/>
  <c r="E8"/>
  <c r="E7"/>
  <c r="E6"/>
  <c r="E5"/>
  <c r="K33" i="113"/>
  <c r="K29" i="127"/>
  <c r="K28"/>
  <c r="K27"/>
  <c r="K26"/>
  <c r="K25"/>
  <c r="K24"/>
  <c r="K23"/>
  <c r="K22"/>
  <c r="K21"/>
  <c r="K20"/>
  <c r="K19"/>
  <c r="K18"/>
  <c r="K17"/>
  <c r="K16"/>
  <c r="K15"/>
  <c r="K14"/>
  <c r="K13"/>
  <c r="K12"/>
  <c r="K11"/>
  <c r="K10"/>
  <c r="K9"/>
  <c r="K8"/>
  <c r="K7"/>
  <c r="K6"/>
  <c r="K5"/>
  <c r="I33" i="113"/>
  <c r="I29" i="127"/>
  <c r="I28"/>
  <c r="I27"/>
  <c r="I26"/>
  <c r="I25"/>
  <c r="I24"/>
  <c r="I23"/>
  <c r="I22"/>
  <c r="I21"/>
  <c r="I20"/>
  <c r="I19"/>
  <c r="I18"/>
  <c r="I17"/>
  <c r="I16"/>
  <c r="I15"/>
  <c r="I14"/>
  <c r="I13"/>
  <c r="I12"/>
  <c r="I11"/>
  <c r="I10"/>
  <c r="I9"/>
  <c r="I8"/>
  <c r="I7"/>
  <c r="I6"/>
  <c r="I5"/>
  <c r="G33" i="113"/>
  <c r="G29" i="127"/>
  <c r="G28"/>
  <c r="G27"/>
  <c r="G26"/>
  <c r="G25"/>
  <c r="G24"/>
  <c r="G23"/>
  <c r="G22"/>
  <c r="G21"/>
  <c r="G20"/>
  <c r="G19"/>
  <c r="G18"/>
  <c r="G17"/>
  <c r="G16"/>
  <c r="G15"/>
  <c r="G14"/>
  <c r="G13"/>
  <c r="G12"/>
  <c r="G11"/>
  <c r="G10"/>
  <c r="G9"/>
  <c r="G8"/>
  <c r="G7"/>
  <c r="G6"/>
  <c r="G5"/>
  <c r="E33" i="113"/>
  <c r="E29" i="127"/>
  <c r="E28"/>
  <c r="E27"/>
  <c r="E26"/>
  <c r="E25"/>
  <c r="E24"/>
  <c r="E23"/>
  <c r="E22"/>
  <c r="E21"/>
  <c r="E20"/>
  <c r="E19"/>
  <c r="E18"/>
  <c r="E17"/>
  <c r="E16"/>
  <c r="E15"/>
  <c r="E14"/>
  <c r="E13"/>
  <c r="E12"/>
  <c r="E11"/>
  <c r="E10"/>
  <c r="E9"/>
  <c r="E8"/>
  <c r="E7"/>
  <c r="E6"/>
  <c r="E5"/>
  <c r="K33" i="114"/>
  <c r="K29" i="128"/>
  <c r="K28"/>
  <c r="K27"/>
  <c r="K26"/>
  <c r="K25"/>
  <c r="K24"/>
  <c r="K23"/>
  <c r="K22"/>
  <c r="K21"/>
  <c r="K20"/>
  <c r="K19"/>
  <c r="K18"/>
  <c r="K17"/>
  <c r="K16"/>
  <c r="K15"/>
  <c r="K14"/>
  <c r="K13"/>
  <c r="K12"/>
  <c r="K11"/>
  <c r="K10"/>
  <c r="K9"/>
  <c r="K8"/>
  <c r="K7"/>
  <c r="K6"/>
  <c r="K5"/>
  <c r="I33" i="114"/>
  <c r="I29" i="128"/>
  <c r="I28"/>
  <c r="I27"/>
  <c r="I26"/>
  <c r="I25"/>
  <c r="I24"/>
  <c r="I23"/>
  <c r="I22"/>
  <c r="I21"/>
  <c r="I20"/>
  <c r="I19"/>
  <c r="I18"/>
  <c r="I17"/>
  <c r="I16"/>
  <c r="I15"/>
  <c r="I14"/>
  <c r="I13"/>
  <c r="I12"/>
  <c r="I11"/>
  <c r="I10"/>
  <c r="I9"/>
  <c r="I8"/>
  <c r="I7"/>
  <c r="I6"/>
  <c r="I5"/>
  <c r="G33" i="114"/>
  <c r="G29" i="128"/>
  <c r="G28"/>
  <c r="G27"/>
  <c r="G26"/>
  <c r="G25"/>
  <c r="G24"/>
  <c r="G23"/>
  <c r="G22"/>
  <c r="G21"/>
  <c r="G20"/>
  <c r="G19"/>
  <c r="G18"/>
  <c r="G17"/>
  <c r="G16"/>
  <c r="G15"/>
  <c r="G14"/>
  <c r="G13"/>
  <c r="G12"/>
  <c r="G11"/>
  <c r="G10"/>
  <c r="G9"/>
  <c r="G8"/>
  <c r="G7"/>
  <c r="G6"/>
  <c r="G5"/>
  <c r="E33" i="114"/>
  <c r="E29" i="128"/>
  <c r="E28"/>
  <c r="E27"/>
  <c r="E26"/>
  <c r="E25"/>
  <c r="E24"/>
  <c r="E23"/>
  <c r="E22"/>
  <c r="E21"/>
  <c r="E20"/>
  <c r="E19"/>
  <c r="E18"/>
  <c r="E17"/>
  <c r="E16"/>
  <c r="E15"/>
  <c r="E14"/>
  <c r="E13"/>
  <c r="E12"/>
  <c r="E11"/>
  <c r="E10"/>
  <c r="E9"/>
  <c r="E8"/>
  <c r="E7"/>
  <c r="E6"/>
  <c r="E5"/>
  <c r="K33" i="104"/>
  <c r="K29" i="129"/>
  <c r="K28"/>
  <c r="K27"/>
  <c r="K26"/>
  <c r="K25"/>
  <c r="K24"/>
  <c r="K23"/>
  <c r="K22"/>
  <c r="K21"/>
  <c r="K20"/>
  <c r="K19"/>
  <c r="K18"/>
  <c r="K17"/>
  <c r="K16"/>
  <c r="K15"/>
  <c r="K14"/>
  <c r="K13"/>
  <c r="K12"/>
  <c r="K11"/>
  <c r="K10"/>
  <c r="K9"/>
  <c r="K8"/>
  <c r="K7"/>
  <c r="K6"/>
  <c r="K5"/>
  <c r="I33" i="104"/>
  <c r="I29" i="129"/>
  <c r="I28"/>
  <c r="I27"/>
  <c r="I26"/>
  <c r="I25"/>
  <c r="I24"/>
  <c r="I23"/>
  <c r="I15"/>
  <c r="I14"/>
  <c r="I13"/>
  <c r="I12"/>
  <c r="I11"/>
  <c r="I10"/>
  <c r="I9"/>
  <c r="I8"/>
  <c r="I7"/>
  <c r="I6"/>
  <c r="I5"/>
  <c r="I22"/>
  <c r="I21"/>
  <c r="I20"/>
  <c r="I19"/>
  <c r="I18"/>
  <c r="I17"/>
  <c r="I16"/>
  <c r="G33" i="104"/>
  <c r="G29" i="129"/>
  <c r="G28"/>
  <c r="G27"/>
  <c r="G26"/>
  <c r="G25"/>
  <c r="G24"/>
  <c r="G23"/>
  <c r="G22"/>
  <c r="G21"/>
  <c r="G20"/>
  <c r="G19"/>
  <c r="G18"/>
  <c r="G17"/>
  <c r="G16"/>
  <c r="G15"/>
  <c r="G14"/>
  <c r="G13"/>
  <c r="G12"/>
  <c r="G11"/>
  <c r="G10"/>
  <c r="G9"/>
  <c r="G8"/>
  <c r="G7"/>
  <c r="G6"/>
  <c r="G5"/>
  <c r="E33" i="104"/>
  <c r="E29" i="129"/>
  <c r="E28"/>
  <c r="E27"/>
  <c r="E26"/>
  <c r="E25"/>
  <c r="E24"/>
  <c r="E23"/>
  <c r="E15"/>
  <c r="E14"/>
  <c r="E13"/>
  <c r="E12"/>
  <c r="E11"/>
  <c r="E10"/>
  <c r="E9"/>
  <c r="E8"/>
  <c r="E7"/>
  <c r="E6"/>
  <c r="E5"/>
  <c r="E22"/>
  <c r="E21"/>
  <c r="E20"/>
  <c r="E19"/>
  <c r="E18"/>
  <c r="E17"/>
  <c r="E16"/>
  <c r="K33" i="110"/>
  <c r="K29" i="130"/>
  <c r="K28"/>
  <c r="K27"/>
  <c r="K26"/>
  <c r="K25"/>
  <c r="K24"/>
  <c r="K23"/>
  <c r="K22"/>
  <c r="K21"/>
  <c r="K20"/>
  <c r="K19"/>
  <c r="K18"/>
  <c r="K17"/>
  <c r="K16"/>
  <c r="K15"/>
  <c r="K14"/>
  <c r="K13"/>
  <c r="K12"/>
  <c r="K11"/>
  <c r="K10"/>
  <c r="K9"/>
  <c r="K8"/>
  <c r="K7"/>
  <c r="K6"/>
  <c r="K5"/>
  <c r="I33" i="110"/>
  <c r="I29" i="130"/>
  <c r="I28"/>
  <c r="I27"/>
  <c r="I26"/>
  <c r="I25"/>
  <c r="I24"/>
  <c r="I23"/>
  <c r="I22"/>
  <c r="I21"/>
  <c r="I20"/>
  <c r="I19"/>
  <c r="I18"/>
  <c r="I17"/>
  <c r="I16"/>
  <c r="I15"/>
  <c r="I14"/>
  <c r="I13"/>
  <c r="I12"/>
  <c r="I11"/>
  <c r="I10"/>
  <c r="I9"/>
  <c r="I8"/>
  <c r="I7"/>
  <c r="I6"/>
  <c r="I5"/>
  <c r="G33" i="110"/>
  <c r="G29" i="130"/>
  <c r="G28"/>
  <c r="G27"/>
  <c r="G26"/>
  <c r="G25"/>
  <c r="G24"/>
  <c r="G23"/>
  <c r="G22"/>
  <c r="G21"/>
  <c r="G20"/>
  <c r="G19"/>
  <c r="G18"/>
  <c r="G17"/>
  <c r="G16"/>
  <c r="G15"/>
  <c r="G14"/>
  <c r="G13"/>
  <c r="G12"/>
  <c r="G11"/>
  <c r="G10"/>
  <c r="G9"/>
  <c r="G8"/>
  <c r="G7"/>
  <c r="G6"/>
  <c r="G5"/>
  <c r="E33" i="110"/>
  <c r="E29" i="130"/>
  <c r="E28"/>
  <c r="E27"/>
  <c r="E26"/>
  <c r="E25"/>
  <c r="E24"/>
  <c r="E23"/>
  <c r="E22"/>
  <c r="E21"/>
  <c r="E20"/>
  <c r="E19"/>
  <c r="E18"/>
  <c r="E17"/>
  <c r="E16"/>
  <c r="E15"/>
  <c r="E14"/>
  <c r="E13"/>
  <c r="E12"/>
  <c r="E11"/>
  <c r="E10"/>
  <c r="E9"/>
  <c r="E8"/>
  <c r="E7"/>
  <c r="E6"/>
  <c r="E5"/>
  <c r="K29" i="132"/>
  <c r="K28"/>
  <c r="K27"/>
  <c r="K26"/>
  <c r="K25"/>
  <c r="K24"/>
  <c r="K23"/>
  <c r="K22"/>
  <c r="K21"/>
  <c r="K20"/>
  <c r="K19"/>
  <c r="K18"/>
  <c r="K17"/>
  <c r="K16"/>
  <c r="K15"/>
  <c r="K14"/>
  <c r="K13"/>
  <c r="K12"/>
  <c r="K11"/>
  <c r="K10"/>
  <c r="K9"/>
  <c r="K8"/>
  <c r="K7"/>
  <c r="K6"/>
  <c r="K5"/>
  <c r="I29"/>
  <c r="I28"/>
  <c r="I27"/>
  <c r="I26"/>
  <c r="I25"/>
  <c r="I24"/>
  <c r="I23"/>
  <c r="I22"/>
  <c r="I21"/>
  <c r="I20"/>
  <c r="I19"/>
  <c r="I18"/>
  <c r="I17"/>
  <c r="I16"/>
  <c r="I15"/>
  <c r="I14"/>
  <c r="I13"/>
  <c r="I12"/>
  <c r="I11"/>
  <c r="I10"/>
  <c r="I9"/>
  <c r="I8"/>
  <c r="I7"/>
  <c r="I6"/>
  <c r="I5"/>
  <c r="G29"/>
  <c r="G28"/>
  <c r="G27"/>
  <c r="G26"/>
  <c r="G25"/>
  <c r="G24"/>
  <c r="G23"/>
  <c r="G22"/>
  <c r="G21"/>
  <c r="G20"/>
  <c r="G19"/>
  <c r="G18"/>
  <c r="G17"/>
  <c r="G16"/>
  <c r="G15"/>
  <c r="G14"/>
  <c r="G13"/>
  <c r="G12"/>
  <c r="G11"/>
  <c r="G10"/>
  <c r="G9"/>
  <c r="G8"/>
  <c r="G7"/>
  <c r="G6"/>
  <c r="G5"/>
  <c r="E29"/>
  <c r="E28"/>
  <c r="E27"/>
  <c r="E26"/>
  <c r="E25"/>
  <c r="E24"/>
  <c r="E23"/>
  <c r="E22"/>
  <c r="E21"/>
  <c r="E20"/>
  <c r="E19"/>
  <c r="E18"/>
  <c r="E17"/>
  <c r="E16"/>
  <c r="E15"/>
  <c r="E14"/>
  <c r="E13"/>
  <c r="E12"/>
  <c r="E11"/>
  <c r="E10"/>
  <c r="E9"/>
  <c r="E8"/>
  <c r="E7"/>
  <c r="E6"/>
  <c r="E5"/>
  <c r="D33" i="100"/>
  <c r="D29" i="133"/>
  <c r="D28"/>
  <c r="D27"/>
  <c r="D26"/>
  <c r="D25"/>
  <c r="D24"/>
  <c r="D23"/>
  <c r="D22"/>
  <c r="D21"/>
  <c r="D20"/>
  <c r="D19"/>
  <c r="D18"/>
  <c r="D17"/>
  <c r="D16"/>
  <c r="D15"/>
  <c r="D14"/>
  <c r="D13"/>
  <c r="D12"/>
  <c r="D11"/>
  <c r="D10"/>
  <c r="D9"/>
  <c r="D8"/>
  <c r="D7"/>
  <c r="D6"/>
  <c r="D5"/>
  <c r="F33" i="100"/>
  <c r="F29" i="133"/>
  <c r="F28"/>
  <c r="F27"/>
  <c r="F26"/>
  <c r="F25"/>
  <c r="F24"/>
  <c r="F23"/>
  <c r="F22"/>
  <c r="F21"/>
  <c r="F20"/>
  <c r="F19"/>
  <c r="F18"/>
  <c r="F17"/>
  <c r="F16"/>
  <c r="F15"/>
  <c r="F14"/>
  <c r="F13"/>
  <c r="F12"/>
  <c r="F11"/>
  <c r="F10"/>
  <c r="F9"/>
  <c r="F8"/>
  <c r="F7"/>
  <c r="F6"/>
  <c r="F5"/>
  <c r="H33" i="100"/>
  <c r="H29" i="133"/>
  <c r="H28"/>
  <c r="H27"/>
  <c r="H26"/>
  <c r="H25"/>
  <c r="H24"/>
  <c r="H23"/>
  <c r="H22"/>
  <c r="H21"/>
  <c r="H20"/>
  <c r="H19"/>
  <c r="H18"/>
  <c r="H17"/>
  <c r="H16"/>
  <c r="H15"/>
  <c r="H14"/>
  <c r="H13"/>
  <c r="H12"/>
  <c r="H11"/>
  <c r="H10"/>
  <c r="H9"/>
  <c r="H8"/>
  <c r="H7"/>
  <c r="H6"/>
  <c r="H5"/>
  <c r="J33" i="100"/>
  <c r="J29" i="133"/>
  <c r="J28"/>
  <c r="J27"/>
  <c r="J26"/>
  <c r="J25"/>
  <c r="J24"/>
  <c r="J23"/>
  <c r="J22"/>
  <c r="J21"/>
  <c r="J20"/>
  <c r="J19"/>
  <c r="J18"/>
  <c r="J17"/>
  <c r="J16"/>
  <c r="J15"/>
  <c r="J14"/>
  <c r="J13"/>
  <c r="J12"/>
  <c r="J11"/>
  <c r="J10"/>
  <c r="J9"/>
  <c r="J8"/>
  <c r="J7"/>
  <c r="J6"/>
  <c r="J5"/>
  <c r="K33" i="137"/>
  <c r="K29" i="138"/>
  <c r="K28"/>
  <c r="K27"/>
  <c r="K26"/>
  <c r="K25"/>
  <c r="K24"/>
  <c r="K23"/>
  <c r="K22"/>
  <c r="K21"/>
  <c r="K20"/>
  <c r="K19"/>
  <c r="K18"/>
  <c r="K17"/>
  <c r="K16"/>
  <c r="K15"/>
  <c r="K14"/>
  <c r="K13"/>
  <c r="K12"/>
  <c r="K11"/>
  <c r="K10"/>
  <c r="K9"/>
  <c r="K8"/>
  <c r="K7"/>
  <c r="K6"/>
  <c r="K5"/>
  <c r="I33" i="137"/>
  <c r="I29" i="138"/>
  <c r="I28"/>
  <c r="I27"/>
  <c r="I26"/>
  <c r="I25"/>
  <c r="I24"/>
  <c r="I23"/>
  <c r="I22"/>
  <c r="I21"/>
  <c r="I20"/>
  <c r="I19"/>
  <c r="I18"/>
  <c r="I17"/>
  <c r="I16"/>
  <c r="I15"/>
  <c r="I14"/>
  <c r="I13"/>
  <c r="I12"/>
  <c r="I11"/>
  <c r="I10"/>
  <c r="I9"/>
  <c r="I8"/>
  <c r="I7"/>
  <c r="I6"/>
  <c r="I5"/>
  <c r="G33" i="137"/>
  <c r="G29" i="138"/>
  <c r="G28"/>
  <c r="G27"/>
  <c r="G26"/>
  <c r="G25"/>
  <c r="G24"/>
  <c r="G23"/>
  <c r="G22"/>
  <c r="G21"/>
  <c r="G20"/>
  <c r="G19"/>
  <c r="G18"/>
  <c r="G17"/>
  <c r="G16"/>
  <c r="G15"/>
  <c r="G14"/>
  <c r="G13"/>
  <c r="G12"/>
  <c r="G11"/>
  <c r="G10"/>
  <c r="G9"/>
  <c r="G8"/>
  <c r="G7"/>
  <c r="G6"/>
  <c r="G5"/>
  <c r="E33" i="137"/>
  <c r="E29" i="138"/>
  <c r="E28"/>
  <c r="E27"/>
  <c r="E26"/>
  <c r="E25"/>
  <c r="E24"/>
  <c r="E23"/>
  <c r="E22"/>
  <c r="E21"/>
  <c r="E20"/>
  <c r="E19"/>
  <c r="E18"/>
  <c r="E17"/>
  <c r="E16"/>
  <c r="E15"/>
  <c r="E14"/>
  <c r="E13"/>
  <c r="E12"/>
  <c r="E11"/>
  <c r="E10"/>
  <c r="E9"/>
  <c r="E8"/>
  <c r="E7"/>
  <c r="E6"/>
  <c r="E5"/>
  <c r="F4" i="135"/>
  <c r="G43" i="87"/>
  <c r="K43"/>
  <c r="E43"/>
  <c r="E4" i="135"/>
  <c r="G4"/>
  <c r="E4" i="124"/>
  <c r="G4"/>
  <c r="I4"/>
  <c r="K4"/>
  <c r="D38" i="83"/>
  <c r="D37"/>
  <c r="Q37" s="1"/>
  <c r="D36"/>
  <c r="D35"/>
  <c r="D34"/>
  <c r="D33"/>
  <c r="D32"/>
  <c r="D31"/>
  <c r="D30"/>
  <c r="D29"/>
  <c r="D28"/>
  <c r="D27"/>
  <c r="D26"/>
  <c r="D25"/>
  <c r="D24"/>
  <c r="D23"/>
  <c r="D22"/>
  <c r="D21"/>
  <c r="D20"/>
  <c r="D19"/>
  <c r="D18"/>
  <c r="D17"/>
  <c r="D16"/>
  <c r="D15"/>
  <c r="D14"/>
  <c r="Q14" s="1"/>
  <c r="D13"/>
  <c r="D12"/>
  <c r="D11"/>
  <c r="D10"/>
  <c r="D9"/>
  <c r="D8"/>
  <c r="D7"/>
  <c r="D6"/>
  <c r="D5"/>
  <c r="D33" i="97"/>
  <c r="D28" i="123"/>
  <c r="D27"/>
  <c r="D26"/>
  <c r="D25"/>
  <c r="D24"/>
  <c r="D23"/>
  <c r="D22"/>
  <c r="D21"/>
  <c r="D20"/>
  <c r="D19"/>
  <c r="D18"/>
  <c r="D17"/>
  <c r="D16"/>
  <c r="D15"/>
  <c r="D14"/>
  <c r="D13"/>
  <c r="D12"/>
  <c r="D11"/>
  <c r="D10"/>
  <c r="D9"/>
  <c r="D8"/>
  <c r="D7"/>
  <c r="D6"/>
  <c r="D5"/>
  <c r="F33" i="97"/>
  <c r="F28" i="123"/>
  <c r="F27"/>
  <c r="F26"/>
  <c r="F25"/>
  <c r="F24"/>
  <c r="F23"/>
  <c r="F22"/>
  <c r="F21"/>
  <c r="F20"/>
  <c r="F19"/>
  <c r="F18"/>
  <c r="F17"/>
  <c r="F16"/>
  <c r="F15"/>
  <c r="F14"/>
  <c r="F13"/>
  <c r="F12"/>
  <c r="F11"/>
  <c r="F10"/>
  <c r="F9"/>
  <c r="F8"/>
  <c r="F7"/>
  <c r="F6"/>
  <c r="F5"/>
  <c r="H33" i="97"/>
  <c r="H28" i="123"/>
  <c r="H27"/>
  <c r="H26"/>
  <c r="H25"/>
  <c r="H24"/>
  <c r="H23"/>
  <c r="H22"/>
  <c r="H21"/>
  <c r="H20"/>
  <c r="H19"/>
  <c r="H18"/>
  <c r="H17"/>
  <c r="H16"/>
  <c r="H15"/>
  <c r="H14"/>
  <c r="H13"/>
  <c r="H12"/>
  <c r="H11"/>
  <c r="H10"/>
  <c r="H9"/>
  <c r="H8"/>
  <c r="H7"/>
  <c r="H6"/>
  <c r="H5"/>
  <c r="J33" i="97"/>
  <c r="J28" i="123"/>
  <c r="J27"/>
  <c r="J26"/>
  <c r="J25"/>
  <c r="J24"/>
  <c r="J23"/>
  <c r="J22"/>
  <c r="J21"/>
  <c r="J20"/>
  <c r="J19"/>
  <c r="J18"/>
  <c r="J17"/>
  <c r="J16"/>
  <c r="J15"/>
  <c r="J14"/>
  <c r="J13"/>
  <c r="J12"/>
  <c r="J11"/>
  <c r="J10"/>
  <c r="J9"/>
  <c r="J8"/>
  <c r="J7"/>
  <c r="J6"/>
  <c r="J5"/>
  <c r="G33" i="93"/>
  <c r="G29" i="122"/>
  <c r="G28"/>
  <c r="G27"/>
  <c r="G26"/>
  <c r="G25"/>
  <c r="G24"/>
  <c r="G23"/>
  <c r="G22"/>
  <c r="G21"/>
  <c r="G20"/>
  <c r="G19"/>
  <c r="G18"/>
  <c r="G17"/>
  <c r="G16"/>
  <c r="G15"/>
  <c r="G14"/>
  <c r="G13"/>
  <c r="G12"/>
  <c r="G11"/>
  <c r="G10"/>
  <c r="G9"/>
  <c r="G8"/>
  <c r="G7"/>
  <c r="G6"/>
  <c r="G5"/>
  <c r="I33" i="93"/>
  <c r="I29" i="122"/>
  <c r="I28"/>
  <c r="I27"/>
  <c r="I26"/>
  <c r="I25"/>
  <c r="I24"/>
  <c r="I23"/>
  <c r="I22"/>
  <c r="I21"/>
  <c r="I20"/>
  <c r="I19"/>
  <c r="I18"/>
  <c r="I17"/>
  <c r="I16"/>
  <c r="I15"/>
  <c r="I14"/>
  <c r="I13"/>
  <c r="I12"/>
  <c r="I11"/>
  <c r="I10"/>
  <c r="I9"/>
  <c r="I8"/>
  <c r="I7"/>
  <c r="I6"/>
  <c r="I5"/>
  <c r="K33" i="93"/>
  <c r="K29" i="122"/>
  <c r="K28"/>
  <c r="K27"/>
  <c r="K26"/>
  <c r="K25"/>
  <c r="K24"/>
  <c r="K23"/>
  <c r="K22"/>
  <c r="K21"/>
  <c r="K20"/>
  <c r="K19"/>
  <c r="K18"/>
  <c r="K17"/>
  <c r="K16"/>
  <c r="K15"/>
  <c r="K14"/>
  <c r="K13"/>
  <c r="K12"/>
  <c r="K11"/>
  <c r="K10"/>
  <c r="K9"/>
  <c r="K8"/>
  <c r="K7"/>
  <c r="K6"/>
  <c r="K5"/>
  <c r="E33" i="93"/>
  <c r="E29" i="122"/>
  <c r="E28"/>
  <c r="E27"/>
  <c r="E26"/>
  <c r="E25"/>
  <c r="E24"/>
  <c r="E23"/>
  <c r="E22"/>
  <c r="E21"/>
  <c r="E20"/>
  <c r="E19"/>
  <c r="E18"/>
  <c r="E17"/>
  <c r="E16"/>
  <c r="E15"/>
  <c r="E14"/>
  <c r="E13"/>
  <c r="E12"/>
  <c r="E11"/>
  <c r="E10"/>
  <c r="E9"/>
  <c r="E8"/>
  <c r="E7"/>
  <c r="E6"/>
  <c r="E5"/>
  <c r="I14" i="77"/>
  <c r="E33" i="97"/>
  <c r="E28" i="123"/>
  <c r="E27"/>
  <c r="E26"/>
  <c r="E25"/>
  <c r="E24"/>
  <c r="E23"/>
  <c r="E22"/>
  <c r="E21"/>
  <c r="E20"/>
  <c r="E19"/>
  <c r="E18"/>
  <c r="E17"/>
  <c r="E16"/>
  <c r="E15"/>
  <c r="E14"/>
  <c r="E13"/>
  <c r="E12"/>
  <c r="E11"/>
  <c r="E10"/>
  <c r="E9"/>
  <c r="E8"/>
  <c r="E7"/>
  <c r="E6"/>
  <c r="E5"/>
  <c r="G33" i="97"/>
  <c r="G28" i="123"/>
  <c r="G27"/>
  <c r="G26"/>
  <c r="G25"/>
  <c r="G24"/>
  <c r="G23"/>
  <c r="G22"/>
  <c r="G21"/>
  <c r="G20"/>
  <c r="G19"/>
  <c r="G18"/>
  <c r="G17"/>
  <c r="G16"/>
  <c r="G15"/>
  <c r="G14"/>
  <c r="G13"/>
  <c r="G12"/>
  <c r="G11"/>
  <c r="G10"/>
  <c r="G9"/>
  <c r="G8"/>
  <c r="G7"/>
  <c r="G6"/>
  <c r="G5"/>
  <c r="I33" i="97"/>
  <c r="I28" i="123"/>
  <c r="I27"/>
  <c r="I26"/>
  <c r="I25"/>
  <c r="I24"/>
  <c r="I23"/>
  <c r="I22"/>
  <c r="I21"/>
  <c r="I20"/>
  <c r="I19"/>
  <c r="I18"/>
  <c r="I17"/>
  <c r="I16"/>
  <c r="I15"/>
  <c r="I14"/>
  <c r="I13"/>
  <c r="I12"/>
  <c r="I11"/>
  <c r="I10"/>
  <c r="I9"/>
  <c r="I8"/>
  <c r="I7"/>
  <c r="I6"/>
  <c r="I5"/>
  <c r="K33" i="97"/>
  <c r="K28" i="123"/>
  <c r="K27"/>
  <c r="K26"/>
  <c r="K25"/>
  <c r="K24"/>
  <c r="K23"/>
  <c r="K22"/>
  <c r="K21"/>
  <c r="K20"/>
  <c r="K19"/>
  <c r="K18"/>
  <c r="K17"/>
  <c r="K16"/>
  <c r="K15"/>
  <c r="K14"/>
  <c r="K13"/>
  <c r="K12"/>
  <c r="K11"/>
  <c r="K10"/>
  <c r="K9"/>
  <c r="K8"/>
  <c r="K7"/>
  <c r="K6"/>
  <c r="K5"/>
  <c r="H33" i="93"/>
  <c r="H29" i="122"/>
  <c r="H28"/>
  <c r="H27"/>
  <c r="H26"/>
  <c r="H25"/>
  <c r="H24"/>
  <c r="H23"/>
  <c r="H22"/>
  <c r="H21"/>
  <c r="H20"/>
  <c r="H19"/>
  <c r="H18"/>
  <c r="H17"/>
  <c r="H16"/>
  <c r="H15"/>
  <c r="H14"/>
  <c r="H13"/>
  <c r="H12"/>
  <c r="H11"/>
  <c r="H10"/>
  <c r="H9"/>
  <c r="H8"/>
  <c r="H7"/>
  <c r="H6"/>
  <c r="H5"/>
  <c r="J33" i="93"/>
  <c r="J29" i="122"/>
  <c r="J28"/>
  <c r="J27"/>
  <c r="J26"/>
  <c r="J25"/>
  <c r="J24"/>
  <c r="J23"/>
  <c r="J22"/>
  <c r="J21"/>
  <c r="J20"/>
  <c r="J19"/>
  <c r="J18"/>
  <c r="J17"/>
  <c r="J16"/>
  <c r="J15"/>
  <c r="J14"/>
  <c r="J13"/>
  <c r="J12"/>
  <c r="J11"/>
  <c r="J10"/>
  <c r="J9"/>
  <c r="J8"/>
  <c r="J7"/>
  <c r="J6"/>
  <c r="J5"/>
  <c r="D33" i="93"/>
  <c r="D29" i="122"/>
  <c r="D28"/>
  <c r="D27"/>
  <c r="D26"/>
  <c r="D25"/>
  <c r="D24"/>
  <c r="D23"/>
  <c r="D22"/>
  <c r="D21"/>
  <c r="D20"/>
  <c r="D19"/>
  <c r="D18"/>
  <c r="D17"/>
  <c r="D16"/>
  <c r="D15"/>
  <c r="D14"/>
  <c r="D13"/>
  <c r="D12"/>
  <c r="D11"/>
  <c r="D10"/>
  <c r="D9"/>
  <c r="D8"/>
  <c r="D7"/>
  <c r="D6"/>
  <c r="D5"/>
  <c r="F33" i="93"/>
  <c r="F29" i="122"/>
  <c r="F28"/>
  <c r="F27"/>
  <c r="F26"/>
  <c r="F25"/>
  <c r="F24"/>
  <c r="F23"/>
  <c r="F22"/>
  <c r="F21"/>
  <c r="F20"/>
  <c r="F19"/>
  <c r="F18"/>
  <c r="F17"/>
  <c r="F16"/>
  <c r="F15"/>
  <c r="F14"/>
  <c r="F13"/>
  <c r="F12"/>
  <c r="F11"/>
  <c r="F10"/>
  <c r="F9"/>
  <c r="F8"/>
  <c r="F7"/>
  <c r="F6"/>
  <c r="F5"/>
  <c r="M17" i="74"/>
  <c r="F42" i="177" s="1"/>
  <c r="I17" i="74"/>
  <c r="E16"/>
  <c r="J14" i="77"/>
  <c r="O27" i="149"/>
  <c r="M27"/>
  <c r="K14" i="77"/>
  <c r="K27" i="149"/>
  <c r="J27"/>
  <c r="I27"/>
  <c r="G14" i="77"/>
  <c r="G27" i="149"/>
  <c r="E14" i="77"/>
  <c r="E27" i="149"/>
  <c r="E16" i="77"/>
  <c r="D29" i="123"/>
  <c r="E29"/>
  <c r="F29"/>
  <c r="G29"/>
  <c r="H29"/>
  <c r="I29"/>
  <c r="J29"/>
  <c r="K29"/>
  <c r="N14" i="77"/>
  <c r="N27" i="149"/>
  <c r="H14" i="77"/>
  <c r="H27" i="149"/>
  <c r="F27"/>
  <c r="D14" i="77"/>
  <c r="D27" i="149"/>
  <c r="M16" i="74"/>
  <c r="F41" i="177" s="1"/>
  <c r="K25" i="89"/>
  <c r="I25"/>
  <c r="K24"/>
  <c r="I24"/>
  <c r="G24"/>
  <c r="E24"/>
  <c r="K23"/>
  <c r="I23"/>
  <c r="G23"/>
  <c r="E23"/>
  <c r="K22"/>
  <c r="I22"/>
  <c r="G22"/>
  <c r="E22"/>
  <c r="K21"/>
  <c r="I21"/>
  <c r="G21"/>
  <c r="E21"/>
  <c r="K20"/>
  <c r="I20"/>
  <c r="G20"/>
  <c r="E20"/>
  <c r="M51" i="143"/>
  <c r="F16" i="77"/>
  <c r="I16" i="74"/>
  <c r="G17"/>
  <c r="D42" i="177" s="1"/>
  <c r="G16" i="74"/>
  <c r="D41" i="177" s="1"/>
  <c r="E17" i="74"/>
  <c r="K20" i="73"/>
  <c r="K18"/>
  <c r="K16"/>
  <c r="K14"/>
  <c r="K12"/>
  <c r="K10"/>
  <c r="K8"/>
  <c r="K6"/>
  <c r="K4"/>
  <c r="K28"/>
  <c r="K26"/>
  <c r="K24"/>
  <c r="K22"/>
  <c r="F14" i="77"/>
  <c r="O14"/>
  <c r="J51" i="143"/>
  <c r="F51"/>
  <c r="I51"/>
  <c r="L51"/>
  <c r="O51"/>
  <c r="H17" i="74"/>
  <c r="F17"/>
  <c r="H16"/>
  <c r="F16"/>
  <c r="M14" i="77"/>
  <c r="D35" i="112"/>
  <c r="E35"/>
  <c r="F35"/>
  <c r="G35"/>
  <c r="H35"/>
  <c r="I35"/>
  <c r="J35"/>
  <c r="K35"/>
  <c r="S9" i="77"/>
  <c r="R9"/>
  <c r="Q9"/>
  <c r="Q8"/>
  <c r="R14" i="83"/>
  <c r="J39" i="73" l="1"/>
  <c r="O29"/>
  <c r="F3" i="176"/>
  <c r="L42" i="73"/>
  <c r="I29"/>
  <c r="N29"/>
  <c r="J42"/>
  <c r="R23" i="74"/>
  <c r="I4" i="176"/>
  <c r="H4"/>
  <c r="F5"/>
  <c r="G25" i="175"/>
  <c r="H5"/>
  <c r="G20"/>
  <c r="I3" i="176"/>
  <c r="H3"/>
  <c r="F4"/>
  <c r="G27" i="175"/>
  <c r="H7"/>
  <c r="G22"/>
  <c r="H5" i="176"/>
  <c r="I5"/>
  <c r="G26" i="175"/>
  <c r="H6"/>
  <c r="G21"/>
  <c r="G23"/>
  <c r="H8"/>
  <c r="H6" i="176"/>
  <c r="I6"/>
  <c r="F6"/>
  <c r="L40" i="73"/>
  <c r="F29"/>
  <c r="E20" i="148"/>
  <c r="E29" i="73"/>
  <c r="G29"/>
  <c r="M29"/>
  <c r="L41"/>
  <c r="D20" i="148"/>
  <c r="J41" i="73"/>
  <c r="H29"/>
  <c r="J40"/>
  <c r="E31" i="89"/>
  <c r="I31"/>
  <c r="D29" i="73"/>
  <c r="D45" i="143"/>
  <c r="D51" s="1"/>
  <c r="K42" i="85"/>
  <c r="G51" i="143"/>
  <c r="G31" i="89"/>
  <c r="K31"/>
  <c r="R17" i="74"/>
  <c r="J29" i="73"/>
  <c r="L29"/>
  <c r="K42"/>
  <c r="K40"/>
  <c r="K41"/>
  <c r="K29"/>
  <c r="G20" i="148"/>
  <c r="E14"/>
  <c r="D14"/>
  <c r="F20"/>
  <c r="E8"/>
  <c r="F8"/>
  <c r="G14"/>
  <c r="D8"/>
  <c r="G8"/>
  <c r="F14" l="1"/>
  <c r="D38" i="91" l="1"/>
  <c r="D20" i="92" s="1"/>
  <c r="F38" i="91"/>
  <c r="H38"/>
  <c r="J38"/>
  <c r="L38"/>
  <c r="N38"/>
  <c r="E38"/>
  <c r="G38"/>
  <c r="I38"/>
  <c r="K38"/>
  <c r="M38"/>
  <c r="O38"/>
  <c r="K5" i="92" l="1"/>
  <c r="G20"/>
  <c r="L5"/>
  <c r="H5"/>
  <c r="D5"/>
  <c r="O20"/>
  <c r="E20"/>
  <c r="N5"/>
  <c r="J5"/>
  <c r="F5"/>
  <c r="L20"/>
  <c r="H20"/>
  <c r="N20"/>
  <c r="J20"/>
  <c r="F20"/>
  <c r="K20"/>
  <c r="O4"/>
  <c r="O37"/>
  <c r="O35"/>
  <c r="O33"/>
  <c r="O31"/>
  <c r="O29"/>
  <c r="O27"/>
  <c r="O25"/>
  <c r="O23"/>
  <c r="O21"/>
  <c r="O19"/>
  <c r="O17"/>
  <c r="O15"/>
  <c r="O13"/>
  <c r="O11"/>
  <c r="O9"/>
  <c r="O7"/>
  <c r="O52" i="91"/>
  <c r="O40"/>
  <c r="O41" s="1"/>
  <c r="O36" i="92"/>
  <c r="O34"/>
  <c r="O32"/>
  <c r="O30"/>
  <c r="O28"/>
  <c r="O26"/>
  <c r="O24"/>
  <c r="O22"/>
  <c r="O18"/>
  <c r="O16"/>
  <c r="O14"/>
  <c r="O12"/>
  <c r="O10"/>
  <c r="O8"/>
  <c r="O6"/>
  <c r="M52" i="91"/>
  <c r="M4" i="92"/>
  <c r="M40" i="91"/>
  <c r="M36" i="92"/>
  <c r="M34"/>
  <c r="M32"/>
  <c r="M30"/>
  <c r="M28"/>
  <c r="M26"/>
  <c r="M24"/>
  <c r="M22"/>
  <c r="M18"/>
  <c r="M16"/>
  <c r="M14"/>
  <c r="M12"/>
  <c r="M10"/>
  <c r="M8"/>
  <c r="M6"/>
  <c r="M37"/>
  <c r="M35"/>
  <c r="M33"/>
  <c r="M31"/>
  <c r="M29"/>
  <c r="M27"/>
  <c r="M25"/>
  <c r="M23"/>
  <c r="M21"/>
  <c r="M19"/>
  <c r="M17"/>
  <c r="M15"/>
  <c r="M13"/>
  <c r="M11"/>
  <c r="M9"/>
  <c r="M7"/>
  <c r="I52" i="91"/>
  <c r="I37" i="92"/>
  <c r="I35"/>
  <c r="I33"/>
  <c r="I31"/>
  <c r="I29"/>
  <c r="I27"/>
  <c r="I25"/>
  <c r="I23"/>
  <c r="I21"/>
  <c r="I19"/>
  <c r="I17"/>
  <c r="I15"/>
  <c r="I13"/>
  <c r="I11"/>
  <c r="I9"/>
  <c r="I7"/>
  <c r="I40" i="91"/>
  <c r="I41" s="1"/>
  <c r="I4" i="92"/>
  <c r="I36"/>
  <c r="I34"/>
  <c r="I32"/>
  <c r="I30"/>
  <c r="I28"/>
  <c r="I26"/>
  <c r="I24"/>
  <c r="I22"/>
  <c r="I18"/>
  <c r="I16"/>
  <c r="I14"/>
  <c r="I12"/>
  <c r="I10"/>
  <c r="I8"/>
  <c r="I6"/>
  <c r="G37"/>
  <c r="G35"/>
  <c r="G33"/>
  <c r="G31"/>
  <c r="G29"/>
  <c r="G27"/>
  <c r="G25"/>
  <c r="G23"/>
  <c r="G21"/>
  <c r="G19"/>
  <c r="G17"/>
  <c r="G15"/>
  <c r="G13"/>
  <c r="G11"/>
  <c r="G9"/>
  <c r="G7"/>
  <c r="G4"/>
  <c r="G36"/>
  <c r="G34"/>
  <c r="G32"/>
  <c r="G30"/>
  <c r="G28"/>
  <c r="G26"/>
  <c r="G24"/>
  <c r="G22"/>
  <c r="G18"/>
  <c r="G16"/>
  <c r="G14"/>
  <c r="G12"/>
  <c r="G10"/>
  <c r="G8"/>
  <c r="G6"/>
  <c r="G40" i="91"/>
  <c r="G52"/>
  <c r="N4" i="92"/>
  <c r="N40" i="91"/>
  <c r="N41" s="1"/>
  <c r="N36" i="92"/>
  <c r="N34"/>
  <c r="N32"/>
  <c r="N30"/>
  <c r="N28"/>
  <c r="N26"/>
  <c r="N24"/>
  <c r="N22"/>
  <c r="N18"/>
  <c r="N16"/>
  <c r="N14"/>
  <c r="N12"/>
  <c r="N10"/>
  <c r="N8"/>
  <c r="N6"/>
  <c r="N37"/>
  <c r="N35"/>
  <c r="N33"/>
  <c r="N31"/>
  <c r="N29"/>
  <c r="N27"/>
  <c r="N25"/>
  <c r="N23"/>
  <c r="N21"/>
  <c r="N19"/>
  <c r="N17"/>
  <c r="N15"/>
  <c r="N13"/>
  <c r="N11"/>
  <c r="N9"/>
  <c r="N7"/>
  <c r="L52" i="91"/>
  <c r="L36" i="92"/>
  <c r="L34"/>
  <c r="L32"/>
  <c r="L30"/>
  <c r="L28"/>
  <c r="L26"/>
  <c r="L24"/>
  <c r="L22"/>
  <c r="L18"/>
  <c r="L16"/>
  <c r="L14"/>
  <c r="L12"/>
  <c r="L10"/>
  <c r="L8"/>
  <c r="L6"/>
  <c r="L4"/>
  <c r="L37"/>
  <c r="L35"/>
  <c r="L33"/>
  <c r="L31"/>
  <c r="L29"/>
  <c r="L27"/>
  <c r="L25"/>
  <c r="L23"/>
  <c r="L21"/>
  <c r="L19"/>
  <c r="L17"/>
  <c r="L15"/>
  <c r="L13"/>
  <c r="L11"/>
  <c r="L9"/>
  <c r="L7"/>
  <c r="L40" i="91"/>
  <c r="L41" s="1"/>
  <c r="J4" i="92"/>
  <c r="J52" i="91"/>
  <c r="J40"/>
  <c r="J36" i="92"/>
  <c r="J34"/>
  <c r="J32"/>
  <c r="J30"/>
  <c r="J28"/>
  <c r="J26"/>
  <c r="J24"/>
  <c r="J22"/>
  <c r="J18"/>
  <c r="J16"/>
  <c r="J14"/>
  <c r="J12"/>
  <c r="J10"/>
  <c r="J8"/>
  <c r="J6"/>
  <c r="J37"/>
  <c r="J35"/>
  <c r="J33"/>
  <c r="J31"/>
  <c r="J29"/>
  <c r="J27"/>
  <c r="J25"/>
  <c r="J23"/>
  <c r="J21"/>
  <c r="J19"/>
  <c r="J17"/>
  <c r="J15"/>
  <c r="J13"/>
  <c r="J11"/>
  <c r="J9"/>
  <c r="J7"/>
  <c r="H4"/>
  <c r="H36"/>
  <c r="H34"/>
  <c r="H32"/>
  <c r="H30"/>
  <c r="H28"/>
  <c r="H26"/>
  <c r="H24"/>
  <c r="H22"/>
  <c r="H18"/>
  <c r="H16"/>
  <c r="H14"/>
  <c r="H12"/>
  <c r="H10"/>
  <c r="H8"/>
  <c r="H6"/>
  <c r="H37"/>
  <c r="H35"/>
  <c r="H33"/>
  <c r="H31"/>
  <c r="H29"/>
  <c r="H27"/>
  <c r="H25"/>
  <c r="H23"/>
  <c r="H21"/>
  <c r="H19"/>
  <c r="H17"/>
  <c r="H15"/>
  <c r="H13"/>
  <c r="H11"/>
  <c r="H9"/>
  <c r="H7"/>
  <c r="H40" i="91"/>
  <c r="H41" s="1"/>
  <c r="F52"/>
  <c r="F4" i="92"/>
  <c r="F36"/>
  <c r="F34"/>
  <c r="F32"/>
  <c r="F30"/>
  <c r="F28"/>
  <c r="F26"/>
  <c r="F24"/>
  <c r="F22"/>
  <c r="F18"/>
  <c r="F16"/>
  <c r="F14"/>
  <c r="F12"/>
  <c r="F10"/>
  <c r="F8"/>
  <c r="F6"/>
  <c r="F40" i="91"/>
  <c r="F41" s="1"/>
  <c r="F37" i="92"/>
  <c r="F35"/>
  <c r="F33"/>
  <c r="F31"/>
  <c r="F29"/>
  <c r="F27"/>
  <c r="F25"/>
  <c r="F23"/>
  <c r="F21"/>
  <c r="F19"/>
  <c r="F17"/>
  <c r="F15"/>
  <c r="F13"/>
  <c r="F11"/>
  <c r="F9"/>
  <c r="F7"/>
  <c r="D4"/>
  <c r="D36"/>
  <c r="D34"/>
  <c r="D32"/>
  <c r="D30"/>
  <c r="D28"/>
  <c r="D26"/>
  <c r="D24"/>
  <c r="D22"/>
  <c r="D18"/>
  <c r="D16"/>
  <c r="D14"/>
  <c r="D12"/>
  <c r="D10"/>
  <c r="D8"/>
  <c r="D6"/>
  <c r="D40" i="91"/>
  <c r="D37" i="92"/>
  <c r="D35"/>
  <c r="D33"/>
  <c r="D31"/>
  <c r="D29"/>
  <c r="D27"/>
  <c r="D25"/>
  <c r="D23"/>
  <c r="D21"/>
  <c r="D19"/>
  <c r="D17"/>
  <c r="D15"/>
  <c r="D13"/>
  <c r="D11"/>
  <c r="D9"/>
  <c r="D7"/>
  <c r="D52" i="91"/>
  <c r="M20" i="92"/>
  <c r="I20"/>
  <c r="O5"/>
  <c r="M5"/>
  <c r="I5"/>
  <c r="G5"/>
  <c r="E5"/>
  <c r="K4"/>
  <c r="K37"/>
  <c r="K35"/>
  <c r="K33"/>
  <c r="K31"/>
  <c r="K29"/>
  <c r="K27"/>
  <c r="K25"/>
  <c r="K23"/>
  <c r="K21"/>
  <c r="K19"/>
  <c r="K17"/>
  <c r="K15"/>
  <c r="K13"/>
  <c r="K11"/>
  <c r="K9"/>
  <c r="K7"/>
  <c r="K40" i="91"/>
  <c r="K41" s="1"/>
  <c r="K36" i="92"/>
  <c r="K34"/>
  <c r="K32"/>
  <c r="K30"/>
  <c r="K28"/>
  <c r="K26"/>
  <c r="K24"/>
  <c r="K22"/>
  <c r="K18"/>
  <c r="K16"/>
  <c r="K14"/>
  <c r="K12"/>
  <c r="K10"/>
  <c r="K8"/>
  <c r="K6"/>
  <c r="E37"/>
  <c r="E35"/>
  <c r="E33"/>
  <c r="E31"/>
  <c r="E29"/>
  <c r="E27"/>
  <c r="E25"/>
  <c r="E23"/>
  <c r="E21"/>
  <c r="E19"/>
  <c r="E17"/>
  <c r="E15"/>
  <c r="E13"/>
  <c r="E11"/>
  <c r="E9"/>
  <c r="E7"/>
  <c r="E4"/>
  <c r="E36"/>
  <c r="E34"/>
  <c r="E32"/>
  <c r="E30"/>
  <c r="E28"/>
  <c r="E26"/>
  <c r="E24"/>
  <c r="E22"/>
  <c r="E18"/>
  <c r="E16"/>
  <c r="E14"/>
  <c r="E12"/>
  <c r="E10"/>
  <c r="E8"/>
  <c r="E6"/>
  <c r="E40" i="91"/>
  <c r="E41" s="1"/>
  <c r="D41" l="1"/>
  <c r="D43" s="1"/>
  <c r="J41"/>
  <c r="J43" s="1"/>
  <c r="G41"/>
  <c r="G43" s="1"/>
  <c r="M41"/>
  <c r="M43" s="1"/>
  <c r="M44" l="1"/>
  <c r="M45" s="1"/>
  <c r="G44"/>
  <c r="G45" s="1"/>
  <c r="J44"/>
  <c r="J45" s="1"/>
  <c r="D44"/>
  <c r="D45" s="1"/>
</calcChain>
</file>

<file path=xl/sharedStrings.xml><?xml version="1.0" encoding="utf-8"?>
<sst xmlns="http://schemas.openxmlformats.org/spreadsheetml/2006/main" count="3338" uniqueCount="528">
  <si>
    <t>2.  Includes where the source of income was indicated as Other (as per SARS source code) or where the source of income was left blank on the return.</t>
  </si>
  <si>
    <r>
      <t>Other</t>
    </r>
    <r>
      <rPr>
        <vertAlign val="superscript"/>
        <sz val="8"/>
        <rFont val="Arial"/>
        <family val="2"/>
      </rPr>
      <t>2</t>
    </r>
  </si>
  <si>
    <r>
      <t>Economic activity</t>
    </r>
    <r>
      <rPr>
        <vertAlign val="superscript"/>
        <sz val="8"/>
        <rFont val="Arial"/>
        <family val="2"/>
      </rPr>
      <t>1</t>
    </r>
  </si>
  <si>
    <t>Female</t>
  </si>
  <si>
    <t>Male</t>
  </si>
  <si>
    <t>Other</t>
  </si>
  <si>
    <t>Construction</t>
  </si>
  <si>
    <t>Metal</t>
  </si>
  <si>
    <t>Textiles</t>
  </si>
  <si>
    <t>Total</t>
  </si>
  <si>
    <t>Eastern Cape</t>
  </si>
  <si>
    <t>Free State</t>
  </si>
  <si>
    <t>Gauteng</t>
  </si>
  <si>
    <t>Limpopo</t>
  </si>
  <si>
    <t>Mpumalanga</t>
  </si>
  <si>
    <t>North West</t>
  </si>
  <si>
    <t>Northern Cape</t>
  </si>
  <si>
    <t>Western Cape</t>
  </si>
  <si>
    <t>Number of taxpayers</t>
  </si>
  <si>
    <t>A:</t>
  </si>
  <si>
    <t>B:</t>
  </si>
  <si>
    <t>C:</t>
  </si>
  <si>
    <t>D:</t>
  </si>
  <si>
    <t>E:</t>
  </si>
  <si>
    <t>F:</t>
  </si>
  <si>
    <t>G:</t>
  </si>
  <si>
    <t>H:</t>
  </si>
  <si>
    <t>I:</t>
  </si>
  <si>
    <t>J:</t>
  </si>
  <si>
    <t>K:</t>
  </si>
  <si>
    <t>L:</t>
  </si>
  <si>
    <t>M:</t>
  </si>
  <si>
    <t>N:</t>
  </si>
  <si>
    <t>O:</t>
  </si>
  <si>
    <t>P:</t>
  </si>
  <si>
    <t>Q:</t>
  </si>
  <si>
    <t>R:</t>
  </si>
  <si>
    <t>S:</t>
  </si>
  <si>
    <t>T:</t>
  </si>
  <si>
    <t>U:</t>
  </si>
  <si>
    <t>V:</t>
  </si>
  <si>
    <t>W:</t>
  </si>
  <si>
    <t>X:</t>
  </si>
  <si>
    <t>Y:</t>
  </si>
  <si>
    <t>&lt; 0</t>
  </si>
  <si>
    <t>1 – 20 000</t>
  </si>
  <si>
    <t>20 001 – 30 000</t>
  </si>
  <si>
    <t>30 001 – 40 000</t>
  </si>
  <si>
    <t>40 001 – 50 000</t>
  </si>
  <si>
    <t>50 001 – 60 000</t>
  </si>
  <si>
    <t>60 001 – 70 000</t>
  </si>
  <si>
    <t>70 001 – 80 000</t>
  </si>
  <si>
    <t>80 001 – 90 000</t>
  </si>
  <si>
    <t>90 000 – 100 000</t>
  </si>
  <si>
    <t>100 001 – 110 000</t>
  </si>
  <si>
    <t>110 001 – 120 000</t>
  </si>
  <si>
    <t>120 001 – 130 000</t>
  </si>
  <si>
    <t>130 001 – 140 000</t>
  </si>
  <si>
    <t>140 001 – 150 000</t>
  </si>
  <si>
    <t>150 001 – 200 000</t>
  </si>
  <si>
    <t>200 001 – 300 000</t>
  </si>
  <si>
    <t>300 001 – 400 000</t>
  </si>
  <si>
    <t>400 001 – 500 000</t>
  </si>
  <si>
    <t>500 001 – 750 000</t>
  </si>
  <si>
    <t>750 001 – 1 000 000</t>
  </si>
  <si>
    <t>1 000 001 – 2 000 000</t>
  </si>
  <si>
    <t>2 000 001 – 5 000 000</t>
  </si>
  <si>
    <t>5 000 001 +</t>
  </si>
  <si>
    <t>Taxable income 
(R million)</t>
  </si>
  <si>
    <t>Tax 
assessed
(R million)</t>
  </si>
  <si>
    <t>KwaZulu-Natal</t>
  </si>
  <si>
    <t>Travelling allowance</t>
  </si>
  <si>
    <t>Entertainment allowance</t>
  </si>
  <si>
    <t>Public office allowance</t>
  </si>
  <si>
    <t>Tool allowance</t>
  </si>
  <si>
    <t>Computer allowance</t>
  </si>
  <si>
    <t>Other allowances - taxable</t>
  </si>
  <si>
    <t>Provident fund contributions</t>
  </si>
  <si>
    <t>Current retirement annuity fund</t>
  </si>
  <si>
    <t>Current pension fund contributions</t>
  </si>
  <si>
    <t>Arrears retirement annuity fund</t>
  </si>
  <si>
    <t>Medical expenses (total)</t>
  </si>
  <si>
    <t>Donations</t>
  </si>
  <si>
    <t>Right of use of asset</t>
  </si>
  <si>
    <t>Free or cheap services</t>
  </si>
  <si>
    <t>Taxable income</t>
  </si>
  <si>
    <t>Tax 
assessed</t>
  </si>
  <si>
    <t>Right of use of motor vehicle</t>
  </si>
  <si>
    <t>Free or cheap residential / holiday accommodation</t>
  </si>
  <si>
    <t>Low or interest-free loans: house</t>
  </si>
  <si>
    <t>Percentage</t>
  </si>
  <si>
    <t>Assessed</t>
  </si>
  <si>
    <t>Percentage of total</t>
  </si>
  <si>
    <t>Gender</t>
  </si>
  <si>
    <t>Amount allowed 
(R million)</t>
  </si>
  <si>
    <t>Taxable income group</t>
  </si>
  <si>
    <t>Deduction</t>
  </si>
  <si>
    <t>Allowed</t>
  </si>
  <si>
    <t>Amount allowed
(R million)</t>
  </si>
  <si>
    <r>
      <t>Other</t>
    </r>
    <r>
      <rPr>
        <vertAlign val="superscript"/>
        <sz val="8"/>
        <rFont val="Arial"/>
        <family val="2"/>
      </rPr>
      <t>1</t>
    </r>
  </si>
  <si>
    <t>Fringe benefit</t>
  </si>
  <si>
    <t>Meals and refreshments vouchers</t>
  </si>
  <si>
    <t>Bursaries and scholarships</t>
  </si>
  <si>
    <t xml:space="preserve">1.  Number of individuals registered as at 31 March of each year.  </t>
  </si>
  <si>
    <t>Below 18</t>
  </si>
  <si>
    <t>18 - 24</t>
  </si>
  <si>
    <t>25 - 34</t>
  </si>
  <si>
    <t>35 - 44</t>
  </si>
  <si>
    <t>45 - 54</t>
  </si>
  <si>
    <t>55 - 64</t>
  </si>
  <si>
    <t>Amount 
(R million)</t>
  </si>
  <si>
    <t>Amount
(R million)</t>
  </si>
  <si>
    <t>Total &gt; 0 taxable income</t>
  </si>
  <si>
    <t>1.  Includes assessed losses of farmers.</t>
  </si>
  <si>
    <t>Telephone/Cell phone allowance</t>
  </si>
  <si>
    <t>Total &lt;= 0 taxable income</t>
  </si>
  <si>
    <t>Taxable 
income 
(R million)</t>
  </si>
  <si>
    <t>Agencies and other services</t>
  </si>
  <si>
    <t>Agriculture, forestry and fishing</t>
  </si>
  <si>
    <t>Catering and accommodation</t>
  </si>
  <si>
    <t>Clothing and footwear</t>
  </si>
  <si>
    <t>Educational services</t>
  </si>
  <si>
    <t>Food, drink and tobacco</t>
  </si>
  <si>
    <t>Long term insurance</t>
  </si>
  <si>
    <t>Machinery and related items</t>
  </si>
  <si>
    <t>Mining and quarrying</t>
  </si>
  <si>
    <t>Other manufacturing industries</t>
  </si>
  <si>
    <t>Paper, printing and publishing</t>
  </si>
  <si>
    <t>Personal and household services</t>
  </si>
  <si>
    <t>Research and scientific institutes</t>
  </si>
  <si>
    <t>Retail trade</t>
  </si>
  <si>
    <t>Scientific, optical and similar equipment</t>
  </si>
  <si>
    <t>Social and related community services</t>
  </si>
  <si>
    <t>Transport equipment</t>
  </si>
  <si>
    <t>Transport, storage and communications</t>
  </si>
  <si>
    <t>Wholesale trade</t>
  </si>
  <si>
    <t>Reimbursive travel allowance - taxable</t>
  </si>
  <si>
    <t>= 0</t>
  </si>
  <si>
    <t>Specialised repair services</t>
  </si>
  <si>
    <t>Bricks, ceramic, glass, cement and similar products</t>
  </si>
  <si>
    <t>Chemicals and chemical, rubber and plastic products</t>
  </si>
  <si>
    <t>Coal and petroleum products</t>
  </si>
  <si>
    <t>Electricity, gas and water</t>
  </si>
  <si>
    <t>Financing, insurance, real estate and business services</t>
  </si>
  <si>
    <t>Leather, leather goods and fur (excl. footwear and clothing)</t>
  </si>
  <si>
    <t>Medical, dental and other health and veterinary services</t>
  </si>
  <si>
    <t>Recreation and cultural services</t>
  </si>
  <si>
    <t>Vehicles, parts and accessories</t>
  </si>
  <si>
    <t>Wood, wood products and furniture</t>
  </si>
  <si>
    <t>Subsistence allowance - local</t>
  </si>
  <si>
    <t>Medical expenses (disabled)</t>
  </si>
  <si>
    <r>
      <t>Agriculture, forestry and fishing</t>
    </r>
    <r>
      <rPr>
        <vertAlign val="superscript"/>
        <sz val="8"/>
        <rFont val="Arial"/>
        <family val="2"/>
      </rPr>
      <t>1</t>
    </r>
  </si>
  <si>
    <t>Sector</t>
  </si>
  <si>
    <t>Marginal PIT rates</t>
  </si>
  <si>
    <t>Cumulative percentage increase</t>
  </si>
  <si>
    <t>and over</t>
  </si>
  <si>
    <t>–</t>
  </si>
  <si>
    <t>Rebates</t>
  </si>
  <si>
    <t>Brackets</t>
  </si>
  <si>
    <t>Primary</t>
  </si>
  <si>
    <t>Secondary</t>
  </si>
  <si>
    <t>Tax thresholds</t>
  </si>
  <si>
    <t>Below age 65</t>
  </si>
  <si>
    <t>Age 65 and over</t>
  </si>
  <si>
    <t xml:space="preserve"> </t>
  </si>
  <si>
    <t>Manufacturing</t>
  </si>
  <si>
    <t>Wholesale and retail trade, catering and accommodation</t>
  </si>
  <si>
    <t>Financial intermediation, insurance, real-estate and business services</t>
  </si>
  <si>
    <t>Community, social and personal services</t>
  </si>
  <si>
    <t>Primary sector</t>
  </si>
  <si>
    <t>Secondary sector</t>
  </si>
  <si>
    <t>Tertiary sector</t>
  </si>
  <si>
    <r>
      <t>Province</t>
    </r>
    <r>
      <rPr>
        <vertAlign val="superscript"/>
        <sz val="8"/>
        <rFont val="Arial"/>
        <family val="2"/>
      </rPr>
      <t>1</t>
    </r>
  </si>
  <si>
    <t>Age group (years)</t>
  </si>
  <si>
    <t>Medical aid paid on behalf of employee</t>
  </si>
  <si>
    <t>TABLES IN TEXT</t>
  </si>
  <si>
    <t>FIGURES</t>
  </si>
  <si>
    <t>TABLES</t>
  </si>
  <si>
    <t>CONTENTS</t>
  </si>
  <si>
    <r>
      <t>Allowance</t>
    </r>
    <r>
      <rPr>
        <b/>
        <vertAlign val="superscript"/>
        <sz val="8"/>
        <rFont val="Arial"/>
        <family val="2"/>
      </rPr>
      <t>1</t>
    </r>
  </si>
  <si>
    <t>1.  Includes only taxable allowances.</t>
  </si>
  <si>
    <t>Tax assessed</t>
  </si>
  <si>
    <t>Retirement</t>
  </si>
  <si>
    <t>Tax year</t>
  </si>
  <si>
    <t>Percentage growth in register</t>
  </si>
  <si>
    <t>Share options exercised</t>
  </si>
  <si>
    <t>Travel expenses - fixed cost - business cost claimed against allowance</t>
  </si>
  <si>
    <t>Travel expenses - actual business cost</t>
  </si>
  <si>
    <t>Check totals 2.1.1</t>
  </si>
  <si>
    <t>Subsistence allowance (local) - taxable</t>
  </si>
  <si>
    <t>Depreciation</t>
  </si>
  <si>
    <t>Average current pension fund</t>
  </si>
  <si>
    <t>Average medical expenses</t>
  </si>
  <si>
    <t>Average current retirement annuity</t>
  </si>
  <si>
    <t>Average travel expenses</t>
  </si>
  <si>
    <t>R150K - R300K</t>
  </si>
  <si>
    <t>Percentage of total taxpayers</t>
  </si>
  <si>
    <r>
      <t>Registered</t>
    </r>
    <r>
      <rPr>
        <vertAlign val="superscript"/>
        <sz val="8"/>
        <color indexed="8"/>
        <rFont val="Arial"/>
        <family val="2"/>
      </rPr>
      <t>1</t>
    </r>
  </si>
  <si>
    <r>
      <t>Liable to submit returns</t>
    </r>
    <r>
      <rPr>
        <vertAlign val="superscript"/>
        <sz val="8"/>
        <color indexed="8"/>
        <rFont val="Arial"/>
        <family val="2"/>
      </rPr>
      <t>2</t>
    </r>
  </si>
  <si>
    <t>Percentage assessed</t>
  </si>
  <si>
    <t>Annual payment (bonus, leave pay etc.)</t>
  </si>
  <si>
    <t>Commission</t>
  </si>
  <si>
    <t>Overtime</t>
  </si>
  <si>
    <t>Annuity from a retirement annuity fund</t>
  </si>
  <si>
    <t>Profit - Local rental</t>
  </si>
  <si>
    <t>Loss - Local rental</t>
  </si>
  <si>
    <t>Pension income (only taxable portion)</t>
  </si>
  <si>
    <t>Director's income</t>
  </si>
  <si>
    <t>Independent contractors</t>
  </si>
  <si>
    <t>Source of income</t>
  </si>
  <si>
    <t>Income (Salaries and wages, remuneration)</t>
  </si>
  <si>
    <t>Taxable income group
Percentage of total</t>
  </si>
  <si>
    <t>Sector
Percentage of total</t>
  </si>
  <si>
    <t>Capital gain - Local</t>
  </si>
  <si>
    <t>Capital gain - Foreign</t>
  </si>
  <si>
    <t xml:space="preserve">1. Based on the office where the taxpayer is registered and not necessarily the province where the taxpayer resides or works.  The provincial allocation is thus a reflection of the province in which the </t>
  </si>
  <si>
    <t>taxpayer's office is located.</t>
  </si>
  <si>
    <t>2008</t>
  </si>
  <si>
    <t>2009</t>
  </si>
  <si>
    <t>Males</t>
  </si>
  <si>
    <t>Females</t>
  </si>
  <si>
    <t>Taxpayers</t>
  </si>
  <si>
    <t>Gross</t>
  </si>
  <si>
    <t>Taxable portion only</t>
  </si>
  <si>
    <t>Local interest</t>
  </si>
  <si>
    <t>Foreign interest</t>
  </si>
  <si>
    <t>Pension income</t>
  </si>
  <si>
    <t>Annual payment</t>
  </si>
  <si>
    <t>Transport, storage &amp; communications</t>
  </si>
  <si>
    <t>Allowance</t>
  </si>
  <si>
    <t xml:space="preserve">Travel expenses - fixed cost </t>
  </si>
  <si>
    <t>Medical expenses</t>
  </si>
  <si>
    <t>Number of 
taxpayers 
assessed</t>
  </si>
  <si>
    <t>Tax assessed 
as a % of 
taxable income</t>
  </si>
  <si>
    <t>Income (Salaries, wages, remuneration)</t>
  </si>
  <si>
    <t>Medical, dental &amp; other health &amp; veterinary services</t>
  </si>
  <si>
    <t>Payment of employees' debt</t>
  </si>
  <si>
    <t>Tax year
Rand</t>
  </si>
  <si>
    <t>2010</t>
  </si>
  <si>
    <t>Gauteng includes Gauteng Central, Gauteng North, Gauteng South, LBC and Special Units</t>
  </si>
  <si>
    <t>Other/unknown added to males</t>
  </si>
  <si>
    <t xml:space="preserve">4004 ARREAR PROVIDENT FUND CONTRIBUTIONS                              </t>
  </si>
  <si>
    <t xml:space="preserve">4005 MEDICAL FUND CONTRIBUTIONS                                       </t>
  </si>
  <si>
    <t xml:space="preserve">4010 TOOL  ALLOWANCE                                                  </t>
  </si>
  <si>
    <t xml:space="preserve">4012 ENTERTAINMENT EXPENSES-ALLOWANCE                                 </t>
  </si>
  <si>
    <t xml:space="preserve">4013 ENTERTAINMENT EXPENSES-ACTUAL                                    </t>
  </si>
  <si>
    <t xml:space="preserve">4019 SUBSISTANCE EXPENSES-FOREIGN                                     </t>
  </si>
  <si>
    <t>4024 DEEMED MEDICAL EXPENDITURE TAXPAYER, SPOUSE &amp; CHILDREN - 7TH SCHE</t>
  </si>
  <si>
    <t>4025 MEDICAL CONTRIBUTIONS ALLOWED BY EMPLOYER FOR PAYE CALCULATION PU</t>
  </si>
  <si>
    <t xml:space="preserve">4026 NSF ARREAR  PENSION FUND CONTRIBUTIONS                           </t>
  </si>
  <si>
    <t>4041 AMOUNTS TAXED ON IRP5 BUT COMPLY WITH EXEMPTIONS I.T.O. SECTION 1</t>
  </si>
  <si>
    <t xml:space="preserve">4042 AMOUNTS REFUNDED I.T.O. SECTION 11(NA) AND 11(NB)                </t>
  </si>
  <si>
    <t xml:space="preserve">4043 ALLOWABLE ACCOUNTANCY FEES                                       </t>
  </si>
  <si>
    <t xml:space="preserve">4210 RENTAL PROFIT - LOCAL                                            </t>
  </si>
  <si>
    <t xml:space="preserve">4211 RENTAL LOSS - LOCAL                                              </t>
  </si>
  <si>
    <t>Income protection contributions</t>
  </si>
  <si>
    <t>Home office expense</t>
  </si>
  <si>
    <t>Check to A2.7.1</t>
  </si>
  <si>
    <t xml:space="preserve">GAUTENG CENTRAL                                                  </t>
  </si>
  <si>
    <t xml:space="preserve">GAUTENG NORTH                                                    </t>
  </si>
  <si>
    <t xml:space="preserve">GAUTENG SOUTH                                                    </t>
  </si>
  <si>
    <t xml:space="preserve">LARGE BUSINESS CENTRE                                            </t>
  </si>
  <si>
    <t xml:space="preserve">SPECIAL UNITS                                                    </t>
  </si>
  <si>
    <t>Check totals A2.1.1</t>
  </si>
  <si>
    <t>Check to table A2.1.1</t>
  </si>
  <si>
    <t xml:space="preserve">Male                                                             </t>
  </si>
  <si>
    <t xml:space="preserve">Unknown                                                          </t>
  </si>
  <si>
    <t>Check to A2.5.1</t>
  </si>
  <si>
    <t>Difference added/subtracted from TIG 200K to 300K</t>
  </si>
  <si>
    <t>Difference added/subtracted from TIG 2m to 5m</t>
  </si>
  <si>
    <t>Balancing</t>
  </si>
  <si>
    <t>75 and older</t>
  </si>
  <si>
    <t>65 - 74</t>
  </si>
  <si>
    <t>&lt;= 0</t>
  </si>
  <si>
    <t>1 – 60 000</t>
  </si>
  <si>
    <t>60 001 – 120 000</t>
  </si>
  <si>
    <t>120 001 – 400 000</t>
  </si>
  <si>
    <t>Foreign allowances</t>
  </si>
  <si>
    <t xml:space="preserve">3715 SUBSISTENCE ALLOWANCE (FOREIGN TRAVELLING) - TAXABLE             </t>
  </si>
  <si>
    <t xml:space="preserve">3717 EMPLOYEES BROAD BASED SHARE PLAN - TAXABLE                       </t>
  </si>
  <si>
    <t xml:space="preserve">3718 VESTING OF EQUITY INSTRUMENTS                                    </t>
  </si>
  <si>
    <t xml:space="preserve">3751 FOREIGN TRAVELLING ALLOWANCE                                     </t>
  </si>
  <si>
    <t xml:space="preserve">3752 FOREIGN RE-IMBURSIVE TRAVEL ALLOW - TAX                          </t>
  </si>
  <si>
    <t xml:space="preserve">3754 FOREIGN EMPLOYMENT SUBSISTENCE ALLOWANCE(NATURE M) - TAXABLE     </t>
  </si>
  <si>
    <t xml:space="preserve">3756 FOREIGN ENTERTAINMENT ALLOWANCE                                  </t>
  </si>
  <si>
    <t xml:space="preserve">3757 FOREIGN SHARE OPTION EXERCISED                                   </t>
  </si>
  <si>
    <t xml:space="preserve">3758 FOREIGN PUBLIC OFFICE ALLOWANCE                                  </t>
  </si>
  <si>
    <t xml:space="preserve">3760 FOREIGN TOOL ALLOWANCE                                           </t>
  </si>
  <si>
    <t xml:space="preserve">3761 FOREIGN COMPUTER ALLOWANCE                                       </t>
  </si>
  <si>
    <t xml:space="preserve">3762 FOREIGN TELEPHONE/CELL PHONE ALLOWANCE                           </t>
  </si>
  <si>
    <t xml:space="preserve">3763 FOREIGN OTHER ALLOWANCES - TAXABLE                               </t>
  </si>
  <si>
    <t>3765 FOREIGN EMPLOYMENT SUBSISTENCE ALLOWANCE (FOREIGN TRAVELLING) (NA</t>
  </si>
  <si>
    <t xml:space="preserve">3767 FOREIGN EMPLOYMENT EMPLOYEES BROAD BASED SHARE PLAN (NATURE M) - </t>
  </si>
  <si>
    <t>3768 FOREIGN EMPLOYMENT VESTING OF EQUITY INSTRUMENTS (NATURE M) - TAX</t>
  </si>
  <si>
    <t>2.  Includes insurance policies ceded to individual and any other benefit or asset received.</t>
  </si>
  <si>
    <t>3.  Foreign fringe benefits (codes 3851 to 3863).</t>
  </si>
  <si>
    <r>
      <t>Foreign fringe benefits</t>
    </r>
    <r>
      <rPr>
        <vertAlign val="superscript"/>
        <sz val="8"/>
        <rFont val="Arial"/>
        <family val="2"/>
      </rPr>
      <t>3</t>
    </r>
  </si>
  <si>
    <r>
      <t>Acquisition of asset at less than the actual value</t>
    </r>
    <r>
      <rPr>
        <vertAlign val="superscript"/>
        <sz val="8"/>
        <rFont val="Arial"/>
        <family val="2"/>
      </rPr>
      <t>1</t>
    </r>
  </si>
  <si>
    <t>1.  As from the 2010 tax year, fringe benefit source codes 3803 to 3809 have been consolidated into source code 3801.</t>
  </si>
  <si>
    <r>
      <t>New consolidated code 3801</t>
    </r>
    <r>
      <rPr>
        <vertAlign val="superscript"/>
        <sz val="8"/>
        <rFont val="Arial"/>
        <family val="2"/>
      </rPr>
      <t>1</t>
    </r>
  </si>
  <si>
    <t xml:space="preserve">3811 INSURANCE POLICIES CEDED TO YOU                                  </t>
  </si>
  <si>
    <t xml:space="preserve">3812 ANY OTHER BENEFIT OR ASSET RECEIVED                              </t>
  </si>
  <si>
    <t>3813 MEDICAL COSTS PAID BY EMPLOYER IRO TAXPAYER, SPOUSE, CHILDREN &amp; O</t>
  </si>
  <si>
    <t xml:space="preserve">3851 FOREIGN ACQUISITION OF ASSETS LESS THAN                          </t>
  </si>
  <si>
    <t xml:space="preserve">3852 FOREIGN USE OF MOTOR VEHICLE                                     </t>
  </si>
  <si>
    <t xml:space="preserve">3853 FOREIGN RIGHT OF USE OF ASSET                                    </t>
  </si>
  <si>
    <t xml:space="preserve">3854 FOREIGN MEAL &amp; REFRESHMENTS VOUCHERS                             </t>
  </si>
  <si>
    <t xml:space="preserve">3855 FOREIGN FREE OR CHEAP RESIDENTIAL/ HOLID                         </t>
  </si>
  <si>
    <t xml:space="preserve">3856 FOREIGN FREE OR CHEAP SERVICES                                   </t>
  </si>
  <si>
    <t xml:space="preserve">3857 FOREIGN LOW OR INTEREST-FREE LOANS:HOUSE                         </t>
  </si>
  <si>
    <t xml:space="preserve">3858 FOREIGN PAYMENT OF EMPLOYEE'S DEBT ECT                           </t>
  </si>
  <si>
    <t xml:space="preserve">3859 FOREIGN BURSARIES &amp; SCHOLARSHIPS                                 </t>
  </si>
  <si>
    <t xml:space="preserve">3860 FOREIGN MEDICAL AID PAID ON YOUR BEHALF                          </t>
  </si>
  <si>
    <t xml:space="preserve">3861 FOREIGN INSURANCE POLICIES CEDED TO YOU                          </t>
  </si>
  <si>
    <t xml:space="preserve">3862 FOREIGN ANY OTHER BENEFIT OR ASSET RECEI                         </t>
  </si>
  <si>
    <t xml:space="preserve">3863 MEDICAL SERVICES COSTS - FOREIGN                                 </t>
  </si>
  <si>
    <t>Foreign</t>
  </si>
  <si>
    <t>Check to A2.6.1</t>
  </si>
  <si>
    <t xml:space="preserve">4002 ARREARS PENSION FUND CONTRIB                                     </t>
  </si>
  <si>
    <t xml:space="preserve">4031 SECTION 8C LOSSES                                                </t>
  </si>
  <si>
    <t xml:space="preserve">4044 LEGAL EXPENSES I.T.O. SECTION 11(C)                              </t>
  </si>
  <si>
    <t xml:space="preserve">4045 BAD DEBT/ PROVISION FOR DOUBTFUL DEBT                            </t>
  </si>
  <si>
    <t xml:space="preserve">4046 USE OF MOTOR VEHICLE                                             </t>
  </si>
  <si>
    <t xml:space="preserve">4047 HOLDERS OF PUBLIC OFFICE: DEDUCTION I.T.O. SECTION 8(1)(D)       </t>
  </si>
  <si>
    <t>1.  Includes arrear pension and provident fund contributions, tool, entertainment and foreign subsistence allowances and other deductions.</t>
  </si>
  <si>
    <t>From Table A2.1.6</t>
  </si>
  <si>
    <t>%Female</t>
  </si>
  <si>
    <t>%Male</t>
  </si>
  <si>
    <t>Individual younger than 65</t>
  </si>
  <si>
    <t>Nominal earnings in 1994/95:</t>
  </si>
  <si>
    <t>Increase in earnings due to inflation</t>
  </si>
  <si>
    <t>Year</t>
  </si>
  <si>
    <t>Consumer Price Index</t>
  </si>
  <si>
    <t>Inflation</t>
  </si>
  <si>
    <t>Tax @ 94/95 rates</t>
  </si>
  <si>
    <t>Tax at each years rate</t>
  </si>
  <si>
    <t>Effective rate (Applicable rate)</t>
  </si>
  <si>
    <t>1994/95</t>
  </si>
  <si>
    <t>1995/96</t>
  </si>
  <si>
    <t>1996/97</t>
  </si>
  <si>
    <t>1997/98</t>
  </si>
  <si>
    <t>1998/99</t>
  </si>
  <si>
    <t>1999/00</t>
  </si>
  <si>
    <t>2000/01</t>
  </si>
  <si>
    <t>2001/02</t>
  </si>
  <si>
    <t>2002/03</t>
  </si>
  <si>
    <t>2003/04</t>
  </si>
  <si>
    <t>2004/05</t>
  </si>
  <si>
    <t>2005/06</t>
  </si>
  <si>
    <t>2006/07</t>
  </si>
  <si>
    <t>2007/08</t>
  </si>
  <si>
    <t>2008/09</t>
  </si>
  <si>
    <t>2009/10</t>
  </si>
  <si>
    <t>2010/11</t>
  </si>
  <si>
    <t>Effective rate (1994/95)</t>
  </si>
  <si>
    <t>0</t>
  </si>
  <si>
    <t>2.  Liable taxpayers are those who are liable to submit a return for a specific tax year. Cases can be on</t>
  </si>
  <si>
    <t xml:space="preserve">     register and active for other years, but may not be active for the specific tax year.</t>
  </si>
  <si>
    <t>Period</t>
  </si>
  <si>
    <t>1st Provisional period</t>
  </si>
  <si>
    <t>Percentage change</t>
  </si>
  <si>
    <t>2nd Provisional period</t>
  </si>
  <si>
    <t>3rd Provisional period</t>
  </si>
  <si>
    <t>R million
Fiscal year</t>
  </si>
  <si>
    <t>From Table A2.1.3</t>
  </si>
  <si>
    <t>Metal (including metal products)</t>
  </si>
  <si>
    <t>From Table A2.5.1</t>
  </si>
  <si>
    <t>From Table A2.7.1</t>
  </si>
  <si>
    <t>Calculations for comments in PIT chapter</t>
  </si>
  <si>
    <t>Reasoning for taxable income groups</t>
  </si>
  <si>
    <t>SITE threshold</t>
  </si>
  <si>
    <t>R120 000 threshold for submitting returns</t>
  </si>
  <si>
    <t>R400 000 top income tax bracket in 2007</t>
  </si>
  <si>
    <r>
      <t>New consolidated code 3601</t>
    </r>
    <r>
      <rPr>
        <vertAlign val="superscript"/>
        <sz val="8"/>
        <rFont val="Arial"/>
        <family val="2"/>
      </rPr>
      <t>1</t>
    </r>
  </si>
  <si>
    <t>1.  As from the 2010 tax year, income source codes 3603, 3607, 3610 have been consolidated into source code 3601.</t>
  </si>
  <si>
    <t>Unknown</t>
  </si>
  <si>
    <t>Rows hidden percentages 37 - 44</t>
  </si>
  <si>
    <t>All other sectors</t>
  </si>
  <si>
    <t>All other sources of income</t>
  </si>
  <si>
    <t>All other allowances</t>
  </si>
  <si>
    <t>All other deductions</t>
  </si>
  <si>
    <t>Deductions</t>
  </si>
  <si>
    <t>From Table A2.3.1</t>
  </si>
  <si>
    <t>Inflation factor</t>
  </si>
  <si>
    <t>Effective rates</t>
  </si>
  <si>
    <t>TAXABLE INCOME</t>
  </si>
  <si>
    <t>RATES OF TAX</t>
  </si>
  <si>
    <t>R</t>
  </si>
  <si>
    <t>-</t>
  </si>
  <si>
    <t>17 % of each R 1</t>
  </si>
  <si>
    <t>+</t>
  </si>
  <si>
    <t xml:space="preserve"> of the amount above</t>
  </si>
  <si>
    <t>REBATES OF TAX</t>
  </si>
  <si>
    <t xml:space="preserve">Age 65 and over (additional to primary rebate) </t>
  </si>
  <si>
    <t>TAX THRESHOLD</t>
  </si>
  <si>
    <t>Below the age of 65</t>
  </si>
  <si>
    <t xml:space="preserve"> of each R 1</t>
  </si>
  <si>
    <t>and above</t>
  </si>
  <si>
    <t>CPI</t>
  </si>
  <si>
    <t>TAX RATES FOR INDIVIDUALS 1994/95</t>
  </si>
  <si>
    <t>Tax at 
1994/95 rates</t>
  </si>
  <si>
    <t>Financing, insurance, real estate &amp; business services</t>
  </si>
  <si>
    <t>Table 2.3: Tax relief granted to individuals since 1994/95</t>
  </si>
  <si>
    <t>1.  As from the 2010 tax year, allowance source codes 3706, 3710, 3711 and 3712 have been consolidated into source code 3713.</t>
  </si>
  <si>
    <r>
      <t>Other allowances - taxable</t>
    </r>
    <r>
      <rPr>
        <vertAlign val="superscript"/>
        <sz val="8"/>
        <rFont val="Arial"/>
        <family val="2"/>
      </rPr>
      <t>2</t>
    </r>
  </si>
  <si>
    <r>
      <t>Other</t>
    </r>
    <r>
      <rPr>
        <vertAlign val="superscript"/>
        <sz val="8"/>
        <rFont val="Arial"/>
        <family val="2"/>
      </rPr>
      <t>3</t>
    </r>
  </si>
  <si>
    <r>
      <t>Foreign allowances</t>
    </r>
    <r>
      <rPr>
        <vertAlign val="superscript"/>
        <sz val="8"/>
        <rFont val="Arial"/>
        <family val="2"/>
      </rPr>
      <t>4</t>
    </r>
  </si>
  <si>
    <t>New consolidated code 3713</t>
  </si>
  <si>
    <t>2.  As from the 2010 tax year, allowance source codes 3706, 3710, 3711 and 3712 have been consolidated into source code 3713.</t>
  </si>
  <si>
    <t>4.  Foreign taxable allowances (codes 3751 to 3768).</t>
  </si>
  <si>
    <t>3.  Includes subsistence allowance (foreign travelling), employees broad-based share plan and vesting of equity instruments.</t>
  </si>
  <si>
    <r>
      <t>New consolidated code 3713</t>
    </r>
    <r>
      <rPr>
        <vertAlign val="superscript"/>
        <sz val="8"/>
        <rFont val="Arial"/>
        <family val="2"/>
      </rPr>
      <t>2</t>
    </r>
  </si>
  <si>
    <t>Figure 2.1: Example of tax relief granted to an individual with taxable income of R100 000 in 1994/95</t>
  </si>
  <si>
    <t>1.  SARS's source of income code is used to classify according to the Standard Industrial Classification (SIC) system.  SARS' source of income code is not fully aligned with the SIC system that Statistics SA uses.</t>
  </si>
  <si>
    <t>3. This scenario assumes no fiscal drag relief with tax rates being kept at 1994/95 rates.</t>
  </si>
  <si>
    <r>
      <t>1994/95</t>
    </r>
    <r>
      <rPr>
        <vertAlign val="superscript"/>
        <sz val="8"/>
        <color theme="1"/>
        <rFont val="Arial"/>
        <family val="2"/>
      </rPr>
      <t>1</t>
    </r>
  </si>
  <si>
    <t>1. Excludes the transitional levy.</t>
  </si>
  <si>
    <t>2011/12</t>
  </si>
  <si>
    <t>Table 2.1: Provisional tax payments by provisional period, 2007/08 – 2011/12</t>
  </si>
  <si>
    <t>TAX RATES FOR INDIVIDUALS 2011 / 2012</t>
  </si>
  <si>
    <t xml:space="preserve">Age 75 and over (additional to primary rebate) </t>
  </si>
  <si>
    <t>Age 65 to below 75</t>
  </si>
  <si>
    <t>Age 75 and over</t>
  </si>
  <si>
    <r>
      <t>2011/12</t>
    </r>
    <r>
      <rPr>
        <vertAlign val="superscript"/>
        <sz val="8"/>
        <color theme="1"/>
        <rFont val="Arial"/>
        <family val="2"/>
      </rPr>
      <t>2</t>
    </r>
  </si>
  <si>
    <r>
      <t>2011/12</t>
    </r>
    <r>
      <rPr>
        <vertAlign val="superscript"/>
        <sz val="8"/>
        <color theme="1"/>
        <rFont val="Arial"/>
        <family val="2"/>
      </rPr>
      <t>3</t>
    </r>
  </si>
  <si>
    <t>2. 2011/12 based on 1994/95 adjusted by inflation.</t>
  </si>
  <si>
    <t>Tax at 
2011/12 rates</t>
  </si>
  <si>
    <t>Table A2.1.1: Assessed individual taxpayers: Taxable income and tax assessed by taxable income group, 2008 – 2011</t>
  </si>
  <si>
    <t>Table 2.5: Assessed individual taxpayers: Summary of taxable income and tax assessed, 2008 – 2011</t>
  </si>
  <si>
    <t>2011</t>
  </si>
  <si>
    <r>
      <t>2011</t>
    </r>
    <r>
      <rPr>
        <vertAlign val="superscript"/>
        <sz val="8"/>
        <color theme="1"/>
        <rFont val="Arial"/>
        <family val="2"/>
      </rPr>
      <t>3</t>
    </r>
  </si>
  <si>
    <t>Table 2.4: Number of individual taxpayers, 2008 – 2011</t>
  </si>
  <si>
    <t>Table A2.2.1: Assessed individual taxpayers: Selected sources of income, 2008 – 2011</t>
  </si>
  <si>
    <t>From Table A2.2.1</t>
  </si>
  <si>
    <t>Table A2.5.1: Assessed individual taxpayers: Allowances, 2008 – 2011</t>
  </si>
  <si>
    <t>Table A2.7.1: Assessed individual taxpayers: Deductions, 2008 – 2011</t>
  </si>
  <si>
    <t>Table A2.6.1: Assessed individual taxpayers: Fringe benefits, 2008 – 2011</t>
  </si>
  <si>
    <t>Table A2.5.3: Assessed individual taxpayers: Allowances - Share options exercised (code 3707) by taxable income group, 2008 – 2011</t>
  </si>
  <si>
    <t>Table A2.6.3: Assessed individual taxpayers: Fringe benefits - Use of motor vehicle (code 3802) by taxable income group, 2008 – 2011</t>
  </si>
  <si>
    <t>Table A2.6.4: Assessed individual taxpayers: Fringe benefits - Medical aid paid on behalf of employee (code 3810) by taxable income group, 2008 – 2011</t>
  </si>
  <si>
    <t>Table A2.7.2: Assessed individual taxpayers: Deductions - Current pension fund contributions (code 4001) by taxable income group, 2008 – 2011</t>
  </si>
  <si>
    <t>Table A2.7.3: Assessed individual taxpayers: Deductions - Current retirement annuity fund contributions (code 4006) by taxable income group, 2008 – 2011</t>
  </si>
  <si>
    <t>Table A2.7.4: Assessed individual taxpayers: Deductions - Medical expenses (total) (code 4008) by taxable income group, 2008 – 2011</t>
  </si>
  <si>
    <t>Table A2.7.5: Assessed individual taxpayers: Deductions - Medical expenses (disabled) (code 4009) by taxable income group, 2008 – 2011</t>
  </si>
  <si>
    <t>Table A2.7.6: Assessed individual taxpayers: Deductions - Travel expenses (fixed cost - business cost claimed against travel allowance) (code 4014) by taxable income group, 2008 – 2011</t>
  </si>
  <si>
    <t>Table A2.7.7: Assessed individual taxpayers: Deductions - Travel expenses (actual business cost) (code 4015) by taxable income group, 2008 – 2011</t>
  </si>
  <si>
    <t>Table A2.7.8: Assessed individual taxpayers: Deductions - Other (code 4016) by taxable income group, 2008 – 2011</t>
  </si>
  <si>
    <t>Table A2.3.1: Assessed individual taxpayers: Tax assessed by sector, 2008 – 2011</t>
  </si>
  <si>
    <r>
      <t xml:space="preserve">Table A2.3.1: Assessed individual taxpayers: Tax assessed by sector, 2008 – 2011 </t>
    </r>
    <r>
      <rPr>
        <i/>
        <sz val="10"/>
        <rFont val="Arial"/>
        <family val="2"/>
      </rPr>
      <t>(continued)</t>
    </r>
  </si>
  <si>
    <t>Table A2.3.2: Assessed individual taxpayers: Tax assessed by economic activity, 2008 – 2011</t>
  </si>
  <si>
    <t>Table A2.4.1: Assessed individual taxpayers with business income: Taxable income and tax assessed by sector, 2008 – 2011</t>
  </si>
  <si>
    <t xml:space="preserve">4048 EMPLOYER PROVIDED VEHICLE EXPENSES                               </t>
  </si>
  <si>
    <t>Income before deductions
(R million)</t>
  </si>
  <si>
    <t>Income before deductions</t>
  </si>
  <si>
    <t>Loss</t>
  </si>
  <si>
    <t>Number</t>
  </si>
  <si>
    <t>400+</t>
  </si>
  <si>
    <t>120-400</t>
  </si>
  <si>
    <t>60-120</t>
  </si>
  <si>
    <t>0-60</t>
  </si>
  <si>
    <t>Tax paid</t>
  </si>
  <si>
    <t>Taxes paid</t>
  </si>
  <si>
    <t>Date</t>
  </si>
  <si>
    <r>
      <t xml:space="preserve">2008 </t>
    </r>
    <r>
      <rPr>
        <i/>
        <sz val="8"/>
        <rFont val="Arial"/>
        <family val="2"/>
      </rPr>
      <t>[95.9% assessed]</t>
    </r>
  </si>
  <si>
    <r>
      <t xml:space="preserve">2009 </t>
    </r>
    <r>
      <rPr>
        <i/>
        <sz val="8"/>
        <rFont val="Arial"/>
        <family val="2"/>
      </rPr>
      <t>[96.9% assessed]</t>
    </r>
  </si>
  <si>
    <r>
      <t xml:space="preserve">2010 </t>
    </r>
    <r>
      <rPr>
        <i/>
        <sz val="8"/>
        <rFont val="Arial"/>
        <family val="2"/>
      </rPr>
      <t>[96.2% assessed]</t>
    </r>
  </si>
  <si>
    <r>
      <t xml:space="preserve">2011 </t>
    </r>
    <r>
      <rPr>
        <i/>
        <sz val="8"/>
        <rFont val="Arial"/>
        <family val="2"/>
      </rPr>
      <t>[94.1% assessed]</t>
    </r>
  </si>
  <si>
    <r>
      <t>2008</t>
    </r>
    <r>
      <rPr>
        <i/>
        <sz val="8"/>
        <rFont val="Arial"/>
        <family val="2"/>
      </rPr>
      <t xml:space="preserve"> [95.9% assessed]</t>
    </r>
  </si>
  <si>
    <r>
      <t>2009</t>
    </r>
    <r>
      <rPr>
        <i/>
        <sz val="8"/>
        <rFont val="Arial"/>
        <family val="2"/>
      </rPr>
      <t xml:space="preserve"> [96.9% assessed]</t>
    </r>
  </si>
  <si>
    <r>
      <t>2010</t>
    </r>
    <r>
      <rPr>
        <i/>
        <sz val="8"/>
        <rFont val="Arial"/>
        <family val="2"/>
      </rPr>
      <t xml:space="preserve"> [96.2% assessed]</t>
    </r>
  </si>
  <si>
    <r>
      <t>2011</t>
    </r>
    <r>
      <rPr>
        <i/>
        <sz val="8"/>
        <rFont val="Arial"/>
        <family val="2"/>
      </rPr>
      <t xml:space="preserve"> [94.1% assessed]</t>
    </r>
  </si>
  <si>
    <t>Figure 2.3: Percentage of assessed individual taxpayers by province, 2008 – 2011</t>
  </si>
  <si>
    <t>Figure 2.4: Percentage of assessed individual taxpayers by age group, 2008 – 2011</t>
  </si>
  <si>
    <t>Figure 2.5: Percentage male and female assessed individual taxpayers by taxable income group, 2011</t>
  </si>
  <si>
    <t>Figure 2.6: Assessed individual taxpayers’ taxable income by source of income, 2011</t>
  </si>
  <si>
    <t>Figure 2.7: Assessed individual taxpayers’ tax assessed by sector, 2011</t>
  </si>
  <si>
    <t>Figure 2.9: Assessed individual taxpayers' deductions, 2011</t>
  </si>
  <si>
    <t>Income group</t>
  </si>
  <si>
    <t>Income group
Percentage of total</t>
  </si>
  <si>
    <t xml:space="preserve">Average income per assessed taxpayer (R) </t>
  </si>
  <si>
    <t xml:space="preserve">Average taxable income per assessed taxpayer (R) </t>
  </si>
  <si>
    <t>Deductions allowed
(R million)</t>
  </si>
  <si>
    <t xml:space="preserve">Average deduction allowed
 (R) </t>
  </si>
  <si>
    <t>Average</t>
  </si>
  <si>
    <t>Table A2.1.2: Assessed individual taxpayers: Taxable income and income before deductions by income group, 2008 – 2011</t>
  </si>
  <si>
    <t>Table A2.1.3: Assessed individual taxpayers: Taxable income and tax assessed by province, 2008 – 2011</t>
  </si>
  <si>
    <t>Table A2.1.4: Assessed individual taxpayers: Taxable income and tax assessed by age group, 2008 – 2011</t>
  </si>
  <si>
    <t>Table A2.1.5: Assessed individual taxpayers: Taxable income and tax assessed by gender, 2008 – 2011</t>
  </si>
  <si>
    <t>Table A2.1.6: Percentage of assessed individual taxpayers by taxable income group and gender, 2008 – 2011</t>
  </si>
  <si>
    <t>From Table A2.1.1</t>
  </si>
  <si>
    <t>% tax paid on income</t>
  </si>
  <si>
    <r>
      <t xml:space="preserve">Table A2.1.1: Assessed individual taxpayers: Taxable income and tax assessed by taxable income group, 2008 – 2011  </t>
    </r>
    <r>
      <rPr>
        <i/>
        <sz val="9"/>
        <rFont val="Arial"/>
        <family val="2"/>
      </rPr>
      <t>(continued)</t>
    </r>
  </si>
  <si>
    <r>
      <t xml:space="preserve">Table A2.5.3: Assessed individual taxpayers: Allowances - Share options exercised (code 3707) by taxable income group, 2008 – 2011 </t>
    </r>
    <r>
      <rPr>
        <i/>
        <sz val="9"/>
        <rFont val="Arial"/>
        <family val="2"/>
      </rPr>
      <t>(continued)</t>
    </r>
  </si>
  <si>
    <r>
      <t>Table A2.6.2: Assessed individual taxpayers: Fringe benefits - Acquisition of asset at less than the actual value (code 3801)</t>
    </r>
    <r>
      <rPr>
        <vertAlign val="superscript"/>
        <sz val="9"/>
        <rFont val="Arial"/>
        <family val="2"/>
      </rPr>
      <t>1</t>
    </r>
    <r>
      <rPr>
        <b/>
        <sz val="9"/>
        <rFont val="Arial"/>
        <family val="2"/>
      </rPr>
      <t xml:space="preserve"> by taxable income group, 2008 – 2011</t>
    </r>
  </si>
  <si>
    <r>
      <t xml:space="preserve">Table A2.6.2: Assessed individual taxpayers: Fringe benefits - Acquisition of asset at less than the actual value (code 3801) by taxable income group, 2008 – 2011 </t>
    </r>
    <r>
      <rPr>
        <i/>
        <sz val="9"/>
        <rFont val="Arial"/>
        <family val="2"/>
      </rPr>
      <t>(continued)</t>
    </r>
  </si>
  <si>
    <r>
      <t xml:space="preserve">Table A2.6.3: Assessed individual taxpayers: Fringe benefits - Use of motor vehicle (code 3802) by taxable income group, 2008 – 2011 </t>
    </r>
    <r>
      <rPr>
        <i/>
        <sz val="9"/>
        <rFont val="Arial"/>
        <family val="2"/>
      </rPr>
      <t>(continued)</t>
    </r>
  </si>
  <si>
    <r>
      <t xml:space="preserve">Table A2.6.4: Assessed individual taxpayers: Fringe benefits - Medical aid paid on behalf of employee (code 3810) by taxable income group, 2007 – 2010 </t>
    </r>
    <r>
      <rPr>
        <i/>
        <sz val="9"/>
        <rFont val="Arial"/>
        <family val="2"/>
      </rPr>
      <t>(continued)</t>
    </r>
  </si>
  <si>
    <r>
      <t xml:space="preserve">Table A2.7.2: Assessed individual taxpayers: Deductions - Current pension fund contributions (code 4001) by taxable income group, 2008 – 2011 </t>
    </r>
    <r>
      <rPr>
        <i/>
        <sz val="9"/>
        <rFont val="Arial"/>
        <family val="2"/>
      </rPr>
      <t>(continued)</t>
    </r>
  </si>
  <si>
    <r>
      <t xml:space="preserve">Table A2.7.3: Assessed individual taxpayers: Deductions - Current retirement annuity fund contributions (code 4006) by taxable income group, 2008 – 2011 </t>
    </r>
    <r>
      <rPr>
        <i/>
        <sz val="9"/>
        <rFont val="Arial"/>
        <family val="2"/>
      </rPr>
      <t>(continued)</t>
    </r>
  </si>
  <si>
    <r>
      <t xml:space="preserve">Table A2.7.4: Assessed individual taxpayers: Deductions - Medical expenses (total) (code 4008) by taxable income group, 2008 – 2011 </t>
    </r>
    <r>
      <rPr>
        <i/>
        <sz val="9"/>
        <rFont val="Arial"/>
        <family val="2"/>
      </rPr>
      <t>(continued)</t>
    </r>
  </si>
  <si>
    <r>
      <t xml:space="preserve">Table A2.7.5: Assessed individual taxpayers: Deductions - Medical expenses (disabled) (code 4009) by taxable income group, 2008 – 2011 </t>
    </r>
    <r>
      <rPr>
        <i/>
        <sz val="9"/>
        <rFont val="Arial"/>
        <family val="2"/>
      </rPr>
      <t>(continued)</t>
    </r>
  </si>
  <si>
    <r>
      <t xml:space="preserve">Table A2.7.6: Assessed individual taxpayers: Deductions - Travel expenses (fixed cost - business cost claimed against travel allowance) (code 4014) by taxable income group, 2008 – 2011 </t>
    </r>
    <r>
      <rPr>
        <i/>
        <sz val="9"/>
        <rFont val="Arial"/>
        <family val="2"/>
      </rPr>
      <t>(continued)</t>
    </r>
  </si>
  <si>
    <r>
      <t xml:space="preserve">Table A2.7.7: Assessed individual taxpayers: Deductions - Travel expenses (actual business cost) (code 4015) by taxable income group, 2008 – 2011 </t>
    </r>
    <r>
      <rPr>
        <i/>
        <sz val="9"/>
        <rFont val="Arial"/>
        <family val="2"/>
      </rPr>
      <t>(continued)</t>
    </r>
  </si>
  <si>
    <r>
      <t xml:space="preserve">Table A2.7.8: Assessed individual taxpayers: Deductions - Other (code 4016) by taxable income group, 2008 – 2011 </t>
    </r>
    <r>
      <rPr>
        <i/>
        <sz val="9"/>
        <rFont val="Arial"/>
        <family val="2"/>
      </rPr>
      <t>(continued)</t>
    </r>
  </si>
  <si>
    <t>3.  Compulsory for all employees of employer to be registered for income tax from 2011.</t>
  </si>
  <si>
    <t>Table 2.6: Distribution of assessed individual taxpayers over selected taxable income groups, 
2008 – 2011</t>
  </si>
  <si>
    <t>BACK TO CONTENTS</t>
  </si>
  <si>
    <t>Table 2.2: Personal income tax (PIT) brackets, 2008 and 2011</t>
  </si>
  <si>
    <t>Percentage of income granted as deduction</t>
  </si>
  <si>
    <r>
      <t xml:space="preserve">Table A2.1.2: Assessed individual taxpayers: Taxable income and income before deductions by income group, 2008 – 2011 </t>
    </r>
    <r>
      <rPr>
        <b/>
        <i/>
        <sz val="9"/>
        <rFont val="Arial"/>
        <family val="2"/>
      </rPr>
      <t xml:space="preserve"> </t>
    </r>
    <r>
      <rPr>
        <i/>
        <sz val="9"/>
        <rFont val="Arial"/>
        <family val="2"/>
      </rPr>
      <t>(continued)</t>
    </r>
  </si>
  <si>
    <t>Table A2.5.2: Assessed individual taxpayers: Allowances - Travelling allowance (code 3701) by taxable income group, 2008 – 2011</t>
  </si>
  <si>
    <r>
      <t xml:space="preserve">Table A2.5.2: Assessed individual taxpayers: Allowances - Travelling allowance (code 3701) by taxable income group, 2008 – 2011 </t>
    </r>
    <r>
      <rPr>
        <i/>
        <sz val="9"/>
        <rFont val="Arial"/>
        <family val="2"/>
      </rPr>
      <t>(continued)</t>
    </r>
  </si>
  <si>
    <r>
      <t>Table A2.5.4: Assessed individual taxpayers: Allowances - Other allowance (code 3713)</t>
    </r>
    <r>
      <rPr>
        <vertAlign val="superscript"/>
        <sz val="9"/>
        <rFont val="Arial"/>
        <family val="2"/>
      </rPr>
      <t>1</t>
    </r>
    <r>
      <rPr>
        <b/>
        <sz val="9"/>
        <rFont val="Arial"/>
        <family val="2"/>
      </rPr>
      <t xml:space="preserve"> by taxable income group, 2008 – 2011</t>
    </r>
  </si>
  <si>
    <r>
      <t xml:space="preserve">Table A2.5.4: Assessed individual taxpayers: Allowances - Other allowance (code 3713) by taxable income group, 2007 – 2010 </t>
    </r>
    <r>
      <rPr>
        <i/>
        <sz val="9"/>
        <rFont val="Arial"/>
        <family val="2"/>
      </rPr>
      <t>(continued)</t>
    </r>
  </si>
  <si>
    <t xml:space="preserve"> 400 000 +</t>
  </si>
  <si>
    <t>400 000 +</t>
  </si>
  <si>
    <t>1.  Includes where the sector was indicated as Other (as per SARS source code) or where the sector was left blank on the return.</t>
  </si>
  <si>
    <t>R0 to R60 000</t>
  </si>
  <si>
    <t>R120 000 to R400 000</t>
  </si>
  <si>
    <t>R400 000 +</t>
  </si>
  <si>
    <t>R60 000 to R120 000</t>
  </si>
  <si>
    <t>Table 2.7: Taxpayers in income groups, deductions granted and taxable income, 2011</t>
  </si>
  <si>
    <t>Average taxable income (R)</t>
  </si>
  <si>
    <t>Average tax assessed (R)</t>
  </si>
  <si>
    <r>
      <t xml:space="preserve">Table A2.4.1: Assessed individual taxpayers with business income: Taxable income and tax assessed by sector, 2008 – 2011  </t>
    </r>
    <r>
      <rPr>
        <i/>
        <sz val="9"/>
        <rFont val="Arial"/>
        <family val="2"/>
      </rPr>
      <t>(continued)</t>
    </r>
  </si>
  <si>
    <t>Figure 2.2: Distribution of taxpayer in taxable income groups,2011</t>
  </si>
  <si>
    <t>Figure 2.8: Assessed individual taxpayers' allowances, 2011</t>
  </si>
  <si>
    <t>2.  Includes where the sector was indicated as Other (as per SARS source code) or where the sector was left blank on the return.</t>
  </si>
</sst>
</file>

<file path=xl/styles.xml><?xml version="1.0" encoding="utf-8"?>
<styleSheet xmlns="http://schemas.openxmlformats.org/spreadsheetml/2006/main">
  <numFmts count="14">
    <numFmt numFmtId="43" formatCode="_ * #,##0.00_ ;_ * \-#,##0.00_ ;_ * &quot;-&quot;??_ ;_ @_ "/>
    <numFmt numFmtId="164" formatCode="0.0%"/>
    <numFmt numFmtId="165" formatCode="_(* #,##0_);_*\ \-#,##0_);_(* &quot;–&quot;_);_(@_)"/>
    <numFmt numFmtId="166" formatCode="_(* #,##0_____);_*\ \-#,##0_);_(* &quot;–&quot;_);_(@_)"/>
    <numFmt numFmtId="167" formatCode="0.0%______;\-0.0%;_(* &quot;–&quot;_____);_(@_)"/>
    <numFmt numFmtId="168" formatCode="_ * #,##0.0%_ ;_ * \-#,##0.0%_ "/>
    <numFmt numFmtId="169" formatCode="_ * #,##0_____ ;_ * \-#,##0_ ;_ * &quot;-&quot;??_ ;_ @_ "/>
    <numFmt numFmtId="170" formatCode="_ * #,##0_ ;_ * \-#,##0_ ;_ * &quot;-&quot;??_ ;_ @_ "/>
    <numFmt numFmtId="171" formatCode="#,##0_ ;\-#,##0\ "/>
    <numFmt numFmtId="172" formatCode="_ [$R-1C09]\ * #,##0.00_ ;_ [$R-1C09]\ * \-#,##0.00_ ;_ [$R-1C09]\ * &quot;-&quot;??_ ;_ @_ "/>
    <numFmt numFmtId="173" formatCode="0.0"/>
    <numFmt numFmtId="174" formatCode="_ [$R-1C09]\ * #,##0_ ;_ [$R-1C09]\ * \-#,##0_ ;_ [$R-1C09]\ * &quot;-&quot;??_ ;_ @_ "/>
    <numFmt numFmtId="175" formatCode="_ * #,##0.0_ ;_ * \-#,##0.0_ ;_ * &quot;-&quot;??_ ;_ @_ "/>
    <numFmt numFmtId="176" formatCode="#\ ###\ ###\ ###\ ###\ ###"/>
  </numFmts>
  <fonts count="69">
    <font>
      <sz val="10"/>
      <name val="Arial"/>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u/>
      <sz val="10"/>
      <color indexed="12"/>
      <name val="Arial"/>
      <family val="2"/>
    </font>
    <font>
      <sz val="10"/>
      <name val="Arial"/>
      <family val="2"/>
    </font>
    <font>
      <b/>
      <sz val="8"/>
      <name val="Arial"/>
      <family val="2"/>
    </font>
    <font>
      <sz val="8"/>
      <name val="Arial"/>
      <family val="2"/>
    </font>
    <font>
      <b/>
      <sz val="8"/>
      <color indexed="8"/>
      <name val="ARIAL"/>
      <family val="2"/>
    </font>
    <font>
      <b/>
      <sz val="10"/>
      <name val="Arial Narrow"/>
      <family val="2"/>
    </font>
    <font>
      <sz val="10"/>
      <name val="Arial Narrow"/>
      <family val="2"/>
    </font>
    <font>
      <i/>
      <sz val="8"/>
      <color indexed="10"/>
      <name val="Arial"/>
      <family val="2"/>
    </font>
    <font>
      <i/>
      <sz val="8"/>
      <name val="Arial"/>
      <family val="2"/>
    </font>
    <font>
      <b/>
      <i/>
      <sz val="8"/>
      <name val="Arial"/>
      <family val="2"/>
    </font>
    <font>
      <vertAlign val="superscript"/>
      <sz val="8"/>
      <name val="Arial"/>
      <family val="2"/>
    </font>
    <font>
      <vertAlign val="superscript"/>
      <sz val="8"/>
      <color indexed="8"/>
      <name val="Arial"/>
      <family val="2"/>
    </font>
    <font>
      <u/>
      <sz val="10"/>
      <name val="Arial"/>
      <family val="2"/>
    </font>
    <font>
      <b/>
      <u/>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Arial"/>
      <family val="2"/>
    </font>
    <font>
      <b/>
      <vertAlign val="superscript"/>
      <sz val="8"/>
      <name val="Arial"/>
      <family val="2"/>
    </font>
    <font>
      <i/>
      <sz val="8"/>
      <color rgb="FFFF0000"/>
      <name val="Arial"/>
      <family val="2"/>
    </font>
    <font>
      <sz val="8"/>
      <color rgb="FFFF0000"/>
      <name val="Arial"/>
      <family val="2"/>
    </font>
    <font>
      <sz val="10"/>
      <color rgb="FFFF0000"/>
      <name val="Arial"/>
      <family val="2"/>
    </font>
    <font>
      <sz val="10"/>
      <name val="Arial"/>
      <family val="2"/>
    </font>
    <font>
      <b/>
      <sz val="8"/>
      <color rgb="FFFF0000"/>
      <name val="Arial"/>
      <family val="2"/>
    </font>
    <font>
      <b/>
      <sz val="8"/>
      <color indexed="10"/>
      <name val="Arial"/>
      <family val="2"/>
    </font>
    <font>
      <i/>
      <sz val="10"/>
      <name val="Arial"/>
      <family val="2"/>
    </font>
    <font>
      <sz val="10"/>
      <name val="MS Sans Serif"/>
      <family val="2"/>
    </font>
    <font>
      <sz val="10"/>
      <color theme="1"/>
      <name val="Tahoma"/>
      <family val="2"/>
    </font>
    <font>
      <sz val="10"/>
      <name val="MS Sans Serif"/>
      <family val="2"/>
    </font>
    <font>
      <b/>
      <sz val="10"/>
      <color indexed="8"/>
      <name val="Arial"/>
      <family val="2"/>
    </font>
    <font>
      <sz val="10"/>
      <color indexed="8"/>
      <name val="Arial"/>
      <family val="2"/>
    </font>
    <font>
      <sz val="8"/>
      <color theme="1"/>
      <name val="Calibri"/>
      <family val="2"/>
      <scheme val="minor"/>
    </font>
    <font>
      <sz val="8"/>
      <color theme="1"/>
      <name val="Arial"/>
      <family val="2"/>
    </font>
    <font>
      <b/>
      <sz val="8"/>
      <color theme="1"/>
      <name val="Arial"/>
      <family val="2"/>
    </font>
    <font>
      <vertAlign val="superscript"/>
      <sz val="8"/>
      <color theme="1"/>
      <name val="Arial"/>
      <family val="2"/>
    </font>
    <font>
      <b/>
      <i/>
      <sz val="8"/>
      <color rgb="FFFF0000"/>
      <name val="Arial"/>
      <family val="2"/>
    </font>
    <font>
      <u/>
      <sz val="10"/>
      <color rgb="FFFF0000"/>
      <name val="Arial"/>
      <family val="2"/>
    </font>
    <font>
      <sz val="10"/>
      <color rgb="FF00B050"/>
      <name val="Arial"/>
      <family val="2"/>
    </font>
    <font>
      <sz val="8"/>
      <color rgb="FF00B050"/>
      <name val="Arial"/>
      <family val="2"/>
    </font>
    <font>
      <sz val="11"/>
      <color theme="0" tint="-0.34998626667073579"/>
      <name val="Calibri"/>
      <family val="2"/>
      <scheme val="minor"/>
    </font>
    <font>
      <b/>
      <sz val="9"/>
      <name val="Arial"/>
      <family val="2"/>
    </font>
    <font>
      <sz val="9"/>
      <name val="Arial"/>
      <family val="2"/>
    </font>
    <font>
      <i/>
      <sz val="9"/>
      <name val="Arial"/>
      <family val="2"/>
    </font>
    <font>
      <vertAlign val="superscript"/>
      <sz val="9"/>
      <name val="Arial"/>
      <family val="2"/>
    </font>
    <font>
      <u/>
      <sz val="10"/>
      <color indexed="12"/>
      <name val="Arial Narrow"/>
      <family val="2"/>
    </font>
    <font>
      <b/>
      <i/>
      <sz val="9"/>
      <name val="Arial"/>
      <family val="2"/>
    </font>
    <font>
      <sz val="8"/>
      <color theme="3" tint="0.79998168889431442"/>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FFFF99"/>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rgb="FF00CCFF"/>
        <bgColor indexed="64"/>
      </patternFill>
    </fill>
    <fill>
      <patternFill patternType="solid">
        <fgColor indexed="40"/>
        <bgColor indexed="64"/>
      </patternFill>
    </fill>
    <fill>
      <patternFill patternType="solid">
        <fgColor indexed="4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s>
  <cellStyleXfs count="75">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8"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5" fillId="0" borderId="0"/>
    <xf numFmtId="0" fontId="22" fillId="0" borderId="0"/>
    <xf numFmtId="0" fontId="22" fillId="0" borderId="0"/>
    <xf numFmtId="0" fontId="22" fillId="0" borderId="0"/>
    <xf numFmtId="0" fontId="22" fillId="0" borderId="0"/>
    <xf numFmtId="0" fontId="22" fillId="23" borderId="7" applyNumberFormat="0" applyFont="0" applyAlignment="0" applyProtection="0"/>
    <xf numFmtId="0" fontId="35" fillId="20" borderId="8" applyNumberFormat="0" applyAlignment="0" applyProtection="0"/>
    <xf numFmtId="9" fontId="5" fillId="0" borderId="0" applyFont="0" applyFill="0" applyBorder="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5" fillId="0" borderId="0"/>
    <xf numFmtId="0" fontId="5" fillId="0" borderId="0"/>
    <xf numFmtId="43" fontId="44" fillId="0" borderId="0" applyFont="0" applyFill="0" applyBorder="0" applyAlignment="0" applyProtection="0"/>
    <xf numFmtId="0" fontId="4" fillId="0" borderId="0"/>
    <xf numFmtId="0" fontId="3" fillId="0" borderId="0"/>
    <xf numFmtId="0" fontId="5" fillId="0" borderId="0"/>
    <xf numFmtId="9" fontId="3"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49"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3" fillId="0" borderId="0"/>
    <xf numFmtId="0" fontId="48" fillId="0" borderId="0"/>
    <xf numFmtId="0" fontId="5" fillId="0" borderId="0"/>
    <xf numFmtId="0" fontId="49" fillId="0" borderId="0"/>
    <xf numFmtId="0" fontId="5" fillId="0" borderId="0"/>
    <xf numFmtId="0" fontId="50" fillId="0" borderId="0"/>
    <xf numFmtId="0" fontId="5" fillId="0" borderId="0"/>
    <xf numFmtId="9" fontId="48" fillId="0" borderId="0" applyFont="0" applyFill="0" applyBorder="0" applyAlignment="0" applyProtection="0"/>
    <xf numFmtId="4" fontId="51" fillId="29" borderId="0" applyNumberFormat="0" applyProtection="0">
      <alignment horizontal="left" vertical="center" indent="1"/>
    </xf>
    <xf numFmtId="4" fontId="52" fillId="30" borderId="63" applyNumberFormat="0" applyProtection="0">
      <alignment horizontal="left" vertical="center" indent="1"/>
    </xf>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711">
    <xf numFmtId="0" fontId="0" fillId="0" borderId="0" xfId="0"/>
    <xf numFmtId="0" fontId="0" fillId="0" borderId="0" xfId="0" applyFill="1"/>
    <xf numFmtId="0" fontId="11" fillId="0" borderId="0" xfId="0" applyFont="1"/>
    <xf numFmtId="0" fontId="11" fillId="0" borderId="0" xfId="0" applyFont="1" applyBorder="1"/>
    <xf numFmtId="165" fontId="9" fillId="0" borderId="0" xfId="0" applyNumberFormat="1" applyFont="1" applyFill="1" applyBorder="1" applyAlignment="1" applyProtection="1">
      <alignment horizontal="right" vertical="center"/>
      <protection locked="0"/>
    </xf>
    <xf numFmtId="165" fontId="9" fillId="0" borderId="0" xfId="0" applyNumberFormat="1" applyFont="1" applyFill="1" applyBorder="1" applyAlignment="1" applyProtection="1">
      <alignment horizontal="left"/>
      <protection locked="0"/>
    </xf>
    <xf numFmtId="165" fontId="11" fillId="0" borderId="0"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vertical="center"/>
      <protection locked="0"/>
    </xf>
    <xf numFmtId="0" fontId="9" fillId="0" borderId="0" xfId="0" applyFont="1" applyAlignment="1" applyProtection="1">
      <alignment vertical="center"/>
      <protection locked="0"/>
    </xf>
    <xf numFmtId="0" fontId="13" fillId="0" borderId="0" xfId="0" applyFont="1" applyFill="1" applyBorder="1" applyAlignment="1" applyProtection="1">
      <alignment vertical="top" wrapText="1"/>
    </xf>
    <xf numFmtId="0" fontId="11" fillId="0" borderId="0" xfId="0" applyFont="1" applyAlignment="1" applyProtection="1">
      <alignment vertical="center"/>
      <protection locked="0"/>
    </xf>
    <xf numFmtId="0" fontId="14" fillId="0" borderId="0" xfId="0" applyFont="1" applyFill="1" applyBorder="1" applyAlignment="1" applyProtection="1">
      <alignment horizontal="right" vertical="top" wrapText="1"/>
    </xf>
    <xf numFmtId="0" fontId="14" fillId="0" borderId="0" xfId="0" applyFont="1" applyFill="1" applyBorder="1" applyProtection="1">
      <protection locked="0"/>
    </xf>
    <xf numFmtId="0" fontId="0" fillId="0" borderId="0" xfId="0" applyNumberFormat="1" applyAlignment="1">
      <alignment vertical="center"/>
    </xf>
    <xf numFmtId="165" fontId="11" fillId="0" borderId="0" xfId="0" applyNumberFormat="1" applyFont="1" applyAlignment="1" applyProtection="1">
      <alignment horizontal="right" vertical="center"/>
      <protection locked="0"/>
    </xf>
    <xf numFmtId="165" fontId="11" fillId="0" borderId="0" xfId="0" applyNumberFormat="1" applyFont="1" applyFill="1" applyBorder="1" applyAlignment="1">
      <alignment horizontal="right" vertical="top"/>
    </xf>
    <xf numFmtId="0" fontId="11" fillId="0" borderId="0" xfId="0" applyFont="1" applyFill="1" applyBorder="1" applyAlignment="1">
      <alignment vertical="center"/>
    </xf>
    <xf numFmtId="0" fontId="11" fillId="0" borderId="0" xfId="0" applyFont="1" applyBorder="1" applyAlignment="1">
      <alignment vertical="center"/>
    </xf>
    <xf numFmtId="165" fontId="10" fillId="0" borderId="15" xfId="0" applyNumberFormat="1" applyFont="1" applyFill="1" applyBorder="1" applyAlignment="1">
      <alignment horizontal="right" vertical="top"/>
    </xf>
    <xf numFmtId="165" fontId="11" fillId="0" borderId="18" xfId="0" applyNumberFormat="1" applyFont="1" applyFill="1" applyBorder="1" applyAlignment="1">
      <alignment horizontal="right" vertical="top"/>
    </xf>
    <xf numFmtId="165" fontId="10" fillId="0" borderId="20" xfId="0" applyNumberFormat="1" applyFont="1" applyFill="1" applyBorder="1" applyAlignment="1">
      <alignment horizontal="right" vertical="top"/>
    </xf>
    <xf numFmtId="0" fontId="11" fillId="0" borderId="0" xfId="0" applyFont="1" applyBorder="1" applyAlignment="1" applyProtection="1">
      <alignment vertical="center"/>
      <protection locked="0"/>
    </xf>
    <xf numFmtId="165" fontId="15" fillId="0" borderId="0" xfId="0" applyNumberFormat="1" applyFont="1" applyFill="1" applyBorder="1" applyAlignment="1">
      <alignment horizontal="right" vertical="top"/>
    </xf>
    <xf numFmtId="164" fontId="11" fillId="0" borderId="0" xfId="45" applyNumberFormat="1" applyFont="1" applyFill="1" applyBorder="1" applyAlignment="1">
      <alignment horizontal="right" vertical="top"/>
    </xf>
    <xf numFmtId="165" fontId="11" fillId="0" borderId="23" xfId="0" applyNumberFormat="1" applyFont="1" applyFill="1" applyBorder="1" applyAlignment="1">
      <alignment horizontal="right" vertical="top"/>
    </xf>
    <xf numFmtId="165" fontId="10" fillId="0" borderId="24" xfId="0" applyNumberFormat="1" applyFont="1" applyFill="1" applyBorder="1" applyAlignment="1">
      <alignment horizontal="right" vertical="top"/>
    </xf>
    <xf numFmtId="0" fontId="0" fillId="0" borderId="12" xfId="0" applyFill="1" applyBorder="1"/>
    <xf numFmtId="0" fontId="11" fillId="0" borderId="0" xfId="0" applyFont="1" applyFill="1" applyBorder="1"/>
    <xf numFmtId="0" fontId="15" fillId="0" borderId="0" xfId="0" applyFont="1"/>
    <xf numFmtId="0" fontId="16" fillId="0" borderId="0" xfId="0" applyFont="1" applyFill="1" applyBorder="1" applyAlignment="1">
      <alignment vertical="center"/>
    </xf>
    <xf numFmtId="166" fontId="11" fillId="0" borderId="0" xfId="0" applyNumberFormat="1" applyFont="1" applyFill="1" applyBorder="1" applyAlignment="1">
      <alignment horizontal="right" vertical="top"/>
    </xf>
    <xf numFmtId="0" fontId="0" fillId="0" borderId="0" xfId="0" applyAlignment="1"/>
    <xf numFmtId="2" fontId="12" fillId="0" borderId="16" xfId="0" applyNumberFormat="1" applyFont="1" applyFill="1" applyBorder="1" applyAlignment="1">
      <alignment horizontal="center" vertical="top" wrapText="1"/>
    </xf>
    <xf numFmtId="2" fontId="12" fillId="0" borderId="14" xfId="0" applyNumberFormat="1" applyFont="1" applyFill="1" applyBorder="1" applyAlignment="1">
      <alignment horizontal="center" vertical="top" wrapText="1"/>
    </xf>
    <xf numFmtId="166" fontId="11" fillId="0" borderId="0" xfId="0" applyNumberFormat="1" applyFont="1" applyFill="1" applyBorder="1" applyAlignment="1">
      <alignment horizontal="center" vertical="top"/>
    </xf>
    <xf numFmtId="9" fontId="11" fillId="0" borderId="0" xfId="45" applyNumberFormat="1" applyFont="1" applyFill="1" applyBorder="1" applyAlignment="1">
      <alignment horizontal="center" vertical="top"/>
    </xf>
    <xf numFmtId="167" fontId="11" fillId="0" borderId="0" xfId="45" applyNumberFormat="1" applyFont="1" applyFill="1" applyBorder="1" applyAlignment="1">
      <alignment vertical="top"/>
    </xf>
    <xf numFmtId="166" fontId="11" fillId="0" borderId="0" xfId="0" quotePrefix="1" applyNumberFormat="1" applyFont="1" applyFill="1" applyBorder="1" applyAlignment="1">
      <alignment horizontal="center" vertical="center"/>
    </xf>
    <xf numFmtId="166" fontId="11" fillId="0" borderId="0" xfId="0" applyNumberFormat="1" applyFont="1" applyFill="1" applyBorder="1" applyAlignment="1">
      <alignment horizontal="right" vertical="center"/>
    </xf>
    <xf numFmtId="167" fontId="11" fillId="0" borderId="23" xfId="45" applyNumberFormat="1" applyFont="1" applyFill="1" applyBorder="1" applyAlignment="1">
      <alignment vertical="center"/>
    </xf>
    <xf numFmtId="166" fontId="11" fillId="0" borderId="11" xfId="0" applyNumberFormat="1" applyFont="1" applyFill="1" applyBorder="1" applyAlignment="1">
      <alignment horizontal="right" vertical="center"/>
    </xf>
    <xf numFmtId="0" fontId="6" fillId="0" borderId="0" xfId="0" applyFont="1"/>
    <xf numFmtId="0" fontId="0" fillId="0" borderId="0" xfId="0" applyBorder="1"/>
    <xf numFmtId="3" fontId="39" fillId="0" borderId="0" xfId="42" applyNumberFormat="1" applyFont="1"/>
    <xf numFmtId="3" fontId="39" fillId="0" borderId="0" xfId="39" applyNumberFormat="1" applyFont="1"/>
    <xf numFmtId="3" fontId="22" fillId="0" borderId="0" xfId="40" applyNumberFormat="1"/>
    <xf numFmtId="0" fontId="22" fillId="0" borderId="0" xfId="40"/>
    <xf numFmtId="0" fontId="39" fillId="0" borderId="0" xfId="41" applyFont="1"/>
    <xf numFmtId="3" fontId="39" fillId="0" borderId="0" xfId="41" applyNumberFormat="1" applyFont="1"/>
    <xf numFmtId="0" fontId="11" fillId="0" borderId="12" xfId="0" applyFont="1" applyFill="1" applyBorder="1"/>
    <xf numFmtId="0" fontId="11" fillId="0" borderId="0" xfId="0" quotePrefix="1" applyFont="1" applyFill="1" applyBorder="1" applyAlignment="1">
      <alignment vertical="center"/>
    </xf>
    <xf numFmtId="0" fontId="11" fillId="0" borderId="0" xfId="0" applyFont="1" applyFill="1" applyAlignment="1" applyProtection="1">
      <alignment vertical="center"/>
      <protection locked="0"/>
    </xf>
    <xf numFmtId="165" fontId="0" fillId="0" borderId="0" xfId="0" applyNumberFormat="1"/>
    <xf numFmtId="0" fontId="6" fillId="0" borderId="11" xfId="0" applyFont="1" applyFill="1" applyBorder="1" applyAlignment="1">
      <alignment horizontal="left"/>
    </xf>
    <xf numFmtId="0" fontId="5" fillId="0" borderId="0" xfId="49"/>
    <xf numFmtId="0" fontId="7" fillId="0" borderId="0" xfId="49" applyFont="1"/>
    <xf numFmtId="165" fontId="7" fillId="0" borderId="0" xfId="49" applyNumberFormat="1" applyFont="1" applyFill="1" applyBorder="1" applyAlignment="1" applyProtection="1">
      <alignment horizontal="right" vertical="center"/>
      <protection locked="0"/>
    </xf>
    <xf numFmtId="0" fontId="7" fillId="0" borderId="0" xfId="49" applyFont="1" applyAlignment="1" applyProtection="1">
      <alignment vertical="center"/>
      <protection locked="0"/>
    </xf>
    <xf numFmtId="168" fontId="11" fillId="0" borderId="0" xfId="45" applyNumberFormat="1" applyFont="1" applyFill="1" applyBorder="1" applyAlignment="1">
      <alignment horizontal="right" vertical="top"/>
    </xf>
    <xf numFmtId="168" fontId="11" fillId="0" borderId="23" xfId="45" applyNumberFormat="1" applyFont="1" applyFill="1" applyBorder="1" applyAlignment="1">
      <alignment horizontal="right" vertical="top"/>
    </xf>
    <xf numFmtId="168" fontId="10" fillId="0" borderId="15" xfId="45" applyNumberFormat="1" applyFont="1" applyFill="1" applyBorder="1" applyAlignment="1">
      <alignment horizontal="right" vertical="top"/>
    </xf>
    <xf numFmtId="168" fontId="10" fillId="0" borderId="24" xfId="45" applyNumberFormat="1" applyFont="1" applyFill="1" applyBorder="1" applyAlignment="1">
      <alignment horizontal="right" vertical="top"/>
    </xf>
    <xf numFmtId="168" fontId="11" fillId="0" borderId="18" xfId="45" applyNumberFormat="1" applyFont="1" applyFill="1" applyBorder="1" applyAlignment="1">
      <alignment horizontal="right" vertical="top"/>
    </xf>
    <xf numFmtId="168" fontId="10" fillId="0" borderId="20" xfId="45" applyNumberFormat="1" applyFont="1" applyFill="1" applyBorder="1" applyAlignment="1">
      <alignment horizontal="right" vertical="top"/>
    </xf>
    <xf numFmtId="0" fontId="5" fillId="0" borderId="0" xfId="49" applyFill="1"/>
    <xf numFmtId="0" fontId="10" fillId="0" borderId="28" xfId="0" quotePrefix="1" applyFont="1" applyFill="1" applyBorder="1" applyAlignment="1">
      <alignment horizontal="centerContinuous" vertical="center"/>
    </xf>
    <xf numFmtId="165" fontId="9" fillId="0" borderId="0" xfId="0" applyNumberFormat="1" applyFont="1" applyFill="1" applyAlignment="1" applyProtection="1">
      <alignment horizontal="right" vertical="center"/>
      <protection locked="0"/>
    </xf>
    <xf numFmtId="0" fontId="10" fillId="0" borderId="26" xfId="0" applyFont="1" applyFill="1" applyBorder="1" applyAlignment="1">
      <alignment horizontal="centerContinuous" vertical="center"/>
    </xf>
    <xf numFmtId="165" fontId="11" fillId="0" borderId="0" xfId="0" applyNumberFormat="1" applyFont="1" applyFill="1" applyAlignment="1" applyProtection="1">
      <alignment horizontal="right" vertical="center"/>
      <protection locked="0"/>
    </xf>
    <xf numFmtId="3" fontId="39" fillId="0" borderId="0" xfId="41" applyNumberFormat="1" applyFont="1" applyFill="1"/>
    <xf numFmtId="3" fontId="22" fillId="0" borderId="0" xfId="40" applyNumberFormat="1" applyFill="1"/>
    <xf numFmtId="3" fontId="39" fillId="0" borderId="0" xfId="39" applyNumberFormat="1" applyFont="1" applyFill="1"/>
    <xf numFmtId="165" fontId="15" fillId="0" borderId="0" xfId="0" applyNumberFormat="1" applyFont="1" applyFill="1"/>
    <xf numFmtId="0" fontId="6" fillId="0" borderId="0" xfId="0" applyFont="1" applyFill="1"/>
    <xf numFmtId="0" fontId="10" fillId="0" borderId="10" xfId="0" applyFont="1" applyFill="1" applyBorder="1"/>
    <xf numFmtId="0" fontId="10" fillId="0" borderId="15" xfId="0" applyFont="1" applyFill="1" applyBorder="1"/>
    <xf numFmtId="0" fontId="0" fillId="0" borderId="0" xfId="0" applyFill="1" applyAlignment="1"/>
    <xf numFmtId="0" fontId="9" fillId="0" borderId="0" xfId="0" applyFont="1" applyFill="1" applyAlignment="1" applyProtection="1">
      <alignment vertical="center"/>
      <protection locked="0"/>
    </xf>
    <xf numFmtId="0" fontId="9" fillId="0" borderId="11" xfId="0" applyFont="1" applyFill="1" applyBorder="1" applyAlignment="1">
      <alignment horizontal="centerContinuous"/>
    </xf>
    <xf numFmtId="0" fontId="10" fillId="0" borderId="0" xfId="0" applyFont="1" applyFill="1" applyBorder="1" applyAlignment="1">
      <alignment vertical="center"/>
    </xf>
    <xf numFmtId="0" fontId="11" fillId="0" borderId="13" xfId="0" applyFont="1" applyFill="1" applyBorder="1"/>
    <xf numFmtId="0" fontId="0" fillId="0" borderId="0" xfId="0" applyFill="1" applyBorder="1" applyAlignment="1">
      <alignment vertical="center"/>
    </xf>
    <xf numFmtId="0" fontId="0" fillId="0" borderId="23" xfId="0" applyFill="1" applyBorder="1" applyAlignment="1">
      <alignment vertical="center"/>
    </xf>
    <xf numFmtId="0" fontId="5" fillId="0" borderId="11" xfId="49" applyFont="1" applyFill="1" applyBorder="1" applyAlignment="1">
      <alignment horizontal="centerContinuous"/>
    </xf>
    <xf numFmtId="17" fontId="10" fillId="0" borderId="28" xfId="0" quotePrefix="1" applyNumberFormat="1" applyFont="1" applyFill="1" applyBorder="1" applyAlignment="1">
      <alignment horizontal="centerContinuous" vertical="center"/>
    </xf>
    <xf numFmtId="0" fontId="10" fillId="0" borderId="29" xfId="0" applyFont="1" applyFill="1" applyBorder="1" applyAlignment="1">
      <alignment horizontal="centerContinuous" vertical="center"/>
    </xf>
    <xf numFmtId="2" fontId="12" fillId="0" borderId="22" xfId="0" applyNumberFormat="1" applyFont="1" applyFill="1" applyBorder="1" applyAlignment="1">
      <alignment horizontal="center" vertical="top" wrapText="1"/>
    </xf>
    <xf numFmtId="0" fontId="11" fillId="0" borderId="0" xfId="0" applyFont="1" applyFill="1" applyBorder="1" applyAlignment="1"/>
    <xf numFmtId="0" fontId="0" fillId="0" borderId="10" xfId="0" applyFill="1" applyBorder="1"/>
    <xf numFmtId="0" fontId="0" fillId="0" borderId="15" xfId="0" applyFill="1" applyBorder="1"/>
    <xf numFmtId="0" fontId="6" fillId="0" borderId="25" xfId="0" applyFont="1" applyFill="1" applyBorder="1" applyAlignment="1">
      <alignment horizontal="left" vertical="center"/>
    </xf>
    <xf numFmtId="0" fontId="10" fillId="0" borderId="26" xfId="0" applyFont="1" applyFill="1" applyBorder="1" applyAlignment="1">
      <alignment horizontal="left" vertical="center"/>
    </xf>
    <xf numFmtId="0" fontId="6" fillId="0" borderId="27" xfId="0" applyFont="1" applyFill="1" applyBorder="1" applyAlignment="1">
      <alignment horizontal="left" vertical="center"/>
    </xf>
    <xf numFmtId="0" fontId="10" fillId="0" borderId="0" xfId="0" applyFont="1" applyFill="1" applyBorder="1" applyAlignment="1">
      <alignment horizontal="centerContinuous" vertical="center"/>
    </xf>
    <xf numFmtId="2" fontId="12" fillId="0" borderId="0" xfId="0" applyNumberFormat="1" applyFont="1" applyFill="1" applyBorder="1" applyAlignment="1">
      <alignment horizontal="center" vertical="top" wrapText="1"/>
    </xf>
    <xf numFmtId="165" fontId="10" fillId="0" borderId="0" xfId="0" applyNumberFormat="1" applyFont="1" applyFill="1" applyBorder="1" applyAlignment="1">
      <alignment horizontal="right" vertical="top"/>
    </xf>
    <xf numFmtId="168" fontId="10" fillId="0" borderId="0" xfId="45" applyNumberFormat="1" applyFont="1" applyFill="1" applyBorder="1" applyAlignment="1">
      <alignment horizontal="right" vertical="top"/>
    </xf>
    <xf numFmtId="3" fontId="39" fillId="0" borderId="0" xfId="42" applyNumberFormat="1" applyFont="1" applyFill="1"/>
    <xf numFmtId="164" fontId="42" fillId="25" borderId="50" xfId="0" applyNumberFormat="1" applyFont="1" applyFill="1" applyBorder="1"/>
    <xf numFmtId="165" fontId="41" fillId="25" borderId="48" xfId="0" applyNumberFormat="1" applyFont="1" applyFill="1" applyBorder="1"/>
    <xf numFmtId="0" fontId="0" fillId="0" borderId="39" xfId="0" applyFill="1" applyBorder="1"/>
    <xf numFmtId="0" fontId="10" fillId="0" borderId="40" xfId="0" applyFont="1" applyFill="1" applyBorder="1"/>
    <xf numFmtId="0" fontId="0" fillId="0" borderId="40" xfId="0" applyFill="1" applyBorder="1"/>
    <xf numFmtId="0" fontId="0" fillId="0" borderId="43" xfId="0" applyFill="1" applyBorder="1"/>
    <xf numFmtId="0" fontId="10" fillId="0" borderId="44" xfId="0" applyFont="1" applyFill="1" applyBorder="1"/>
    <xf numFmtId="0" fontId="0" fillId="0" borderId="44" xfId="0" applyFill="1" applyBorder="1"/>
    <xf numFmtId="0" fontId="11" fillId="0" borderId="0" xfId="0" applyFont="1" applyFill="1"/>
    <xf numFmtId="0" fontId="16" fillId="0" borderId="0" xfId="0" applyFont="1" applyFill="1" applyBorder="1" applyAlignment="1">
      <alignment horizontal="left" vertical="center" indent="1"/>
    </xf>
    <xf numFmtId="165" fontId="10" fillId="0" borderId="41" xfId="0" applyNumberFormat="1" applyFont="1" applyFill="1" applyBorder="1" applyAlignment="1">
      <alignment horizontal="right" vertical="top"/>
    </xf>
    <xf numFmtId="165" fontId="10" fillId="0" borderId="40" xfId="0" applyNumberFormat="1" applyFont="1" applyFill="1" applyBorder="1" applyAlignment="1">
      <alignment horizontal="right" vertical="top"/>
    </xf>
    <xf numFmtId="165" fontId="10" fillId="0" borderId="42" xfId="0" applyNumberFormat="1" applyFont="1" applyFill="1" applyBorder="1" applyAlignment="1">
      <alignment horizontal="right" vertical="top"/>
    </xf>
    <xf numFmtId="165" fontId="10" fillId="0" borderId="33" xfId="0" applyNumberFormat="1" applyFont="1" applyFill="1" applyBorder="1" applyAlignment="1">
      <alignment horizontal="right" vertical="top"/>
    </xf>
    <xf numFmtId="165" fontId="10" fillId="0" borderId="44" xfId="0" applyNumberFormat="1" applyFont="1" applyFill="1" applyBorder="1" applyAlignment="1">
      <alignment horizontal="right" vertical="top"/>
    </xf>
    <xf numFmtId="165" fontId="10" fillId="0" borderId="35" xfId="0" applyNumberFormat="1" applyFont="1" applyFill="1" applyBorder="1" applyAlignment="1">
      <alignment horizontal="right" vertical="top"/>
    </xf>
    <xf numFmtId="0" fontId="11" fillId="0" borderId="12" xfId="0" applyFont="1" applyFill="1" applyBorder="1" applyAlignment="1">
      <alignment horizontal="center"/>
    </xf>
    <xf numFmtId="0" fontId="0" fillId="0" borderId="12" xfId="0" applyFill="1" applyBorder="1" applyAlignment="1">
      <alignment horizontal="center"/>
    </xf>
    <xf numFmtId="0" fontId="11" fillId="0" borderId="0" xfId="0" applyFont="1" applyFill="1" applyBorder="1" applyAlignment="1">
      <alignment horizontal="left" vertical="center"/>
    </xf>
    <xf numFmtId="164" fontId="42" fillId="25" borderId="47" xfId="45" applyNumberFormat="1" applyFont="1" applyFill="1" applyBorder="1" applyAlignment="1">
      <alignment horizontal="right" vertical="top"/>
    </xf>
    <xf numFmtId="164" fontId="42" fillId="25" borderId="49" xfId="45" applyNumberFormat="1" applyFont="1" applyFill="1" applyBorder="1" applyAlignment="1">
      <alignment horizontal="right" vertical="top"/>
    </xf>
    <xf numFmtId="0" fontId="42" fillId="26" borderId="47" xfId="0" applyFont="1" applyFill="1" applyBorder="1" applyAlignment="1">
      <alignment vertical="center"/>
    </xf>
    <xf numFmtId="0" fontId="42" fillId="26" borderId="48" xfId="0" applyFont="1" applyFill="1" applyBorder="1" applyAlignment="1">
      <alignment vertical="center"/>
    </xf>
    <xf numFmtId="3" fontId="42" fillId="26" borderId="48" xfId="39" applyNumberFormat="1" applyFont="1" applyFill="1" applyBorder="1" applyAlignment="1">
      <alignment vertical="center"/>
    </xf>
    <xf numFmtId="3" fontId="42" fillId="26" borderId="49" xfId="39" applyNumberFormat="1" applyFont="1" applyFill="1" applyBorder="1" applyAlignment="1">
      <alignment vertical="center"/>
    </xf>
    <xf numFmtId="0" fontId="15" fillId="25" borderId="47" xfId="0" applyFont="1" applyFill="1" applyBorder="1" applyAlignment="1">
      <alignment vertical="center"/>
    </xf>
    <xf numFmtId="165" fontId="15" fillId="25" borderId="48" xfId="0" applyNumberFormat="1" applyFont="1" applyFill="1" applyBorder="1" applyAlignment="1">
      <alignment horizontal="right" vertical="top"/>
    </xf>
    <xf numFmtId="165" fontId="15" fillId="25" borderId="49" xfId="0" applyNumberFormat="1" applyFont="1" applyFill="1" applyBorder="1" applyAlignment="1">
      <alignment horizontal="right" vertical="top"/>
    </xf>
    <xf numFmtId="0" fontId="6" fillId="0" borderId="0" xfId="0" applyFont="1" applyFill="1" applyBorder="1" applyAlignment="1">
      <alignment horizontal="left"/>
    </xf>
    <xf numFmtId="0" fontId="17" fillId="0" borderId="0" xfId="0" applyFont="1" applyFill="1" applyBorder="1" applyAlignment="1">
      <alignment vertical="center"/>
    </xf>
    <xf numFmtId="165" fontId="10" fillId="0" borderId="18" xfId="0" applyNumberFormat="1" applyFont="1" applyFill="1" applyBorder="1" applyAlignment="1">
      <alignment horizontal="right" vertical="top"/>
    </xf>
    <xf numFmtId="165" fontId="10" fillId="0" borderId="23" xfId="0" applyNumberFormat="1" applyFont="1" applyFill="1" applyBorder="1" applyAlignment="1">
      <alignment horizontal="right" vertical="top"/>
    </xf>
    <xf numFmtId="0" fontId="6" fillId="0" borderId="12" xfId="0" applyFont="1" applyFill="1" applyBorder="1"/>
    <xf numFmtId="0" fontId="10" fillId="0" borderId="0" xfId="0" applyFont="1" applyFill="1" applyBorder="1" applyAlignment="1">
      <alignment horizontal="left" indent="1"/>
    </xf>
    <xf numFmtId="0" fontId="10" fillId="0" borderId="0" xfId="0" applyFont="1" applyFill="1" applyBorder="1"/>
    <xf numFmtId="0" fontId="11" fillId="0" borderId="0" xfId="0" applyFont="1" applyFill="1" applyBorder="1" applyAlignment="1">
      <alignment horizontal="left" vertical="center" indent="2"/>
    </xf>
    <xf numFmtId="2" fontId="12" fillId="0" borderId="17" xfId="0" applyNumberFormat="1" applyFont="1" applyFill="1" applyBorder="1" applyAlignment="1">
      <alignment horizontal="center" vertical="top" wrapText="1"/>
    </xf>
    <xf numFmtId="0" fontId="11" fillId="0" borderId="0" xfId="0" applyFont="1" applyFill="1" applyBorder="1" applyAlignment="1">
      <alignment horizontal="left"/>
    </xf>
    <xf numFmtId="168" fontId="10" fillId="0" borderId="21" xfId="45" applyNumberFormat="1" applyFont="1" applyFill="1" applyBorder="1" applyAlignment="1">
      <alignment horizontal="right" vertical="top"/>
    </xf>
    <xf numFmtId="165" fontId="10" fillId="0" borderId="51" xfId="0" applyNumberFormat="1" applyFont="1" applyFill="1" applyBorder="1" applyAlignment="1">
      <alignment horizontal="right" vertical="top"/>
    </xf>
    <xf numFmtId="168" fontId="11" fillId="0" borderId="19" xfId="45" applyNumberFormat="1" applyFont="1" applyFill="1" applyBorder="1" applyAlignment="1">
      <alignment horizontal="right" vertical="top"/>
    </xf>
    <xf numFmtId="165" fontId="11" fillId="0" borderId="19" xfId="0" applyNumberFormat="1" applyFont="1" applyFill="1" applyBorder="1" applyAlignment="1">
      <alignment horizontal="right" vertical="top"/>
    </xf>
    <xf numFmtId="165" fontId="10" fillId="0" borderId="34" xfId="0" applyNumberFormat="1" applyFont="1" applyFill="1" applyBorder="1" applyAlignment="1">
      <alignment horizontal="right" vertical="top"/>
    </xf>
    <xf numFmtId="165" fontId="11" fillId="0" borderId="42" xfId="0" applyNumberFormat="1" applyFont="1" applyFill="1" applyBorder="1" applyAlignment="1">
      <alignment horizontal="right" vertical="top"/>
    </xf>
    <xf numFmtId="0" fontId="43" fillId="0" borderId="0" xfId="0" applyFont="1"/>
    <xf numFmtId="164" fontId="42" fillId="25" borderId="50" xfId="45" applyNumberFormat="1" applyFont="1" applyFill="1" applyBorder="1" applyAlignment="1">
      <alignment vertical="center"/>
    </xf>
    <xf numFmtId="0" fontId="41" fillId="25" borderId="47" xfId="0" applyFont="1" applyFill="1" applyBorder="1"/>
    <xf numFmtId="165" fontId="41" fillId="25" borderId="49" xfId="0" applyNumberFormat="1" applyFont="1" applyFill="1" applyBorder="1"/>
    <xf numFmtId="0" fontId="5" fillId="0" borderId="12" xfId="38" applyFill="1" applyBorder="1"/>
    <xf numFmtId="0" fontId="11" fillId="0" borderId="0" xfId="38" applyFont="1" applyFill="1" applyBorder="1"/>
    <xf numFmtId="0" fontId="5" fillId="0" borderId="43" xfId="38" applyFill="1" applyBorder="1"/>
    <xf numFmtId="0" fontId="10" fillId="0" borderId="44" xfId="38" applyFont="1" applyFill="1" applyBorder="1"/>
    <xf numFmtId="0" fontId="5" fillId="0" borderId="44" xfId="38" applyFill="1" applyBorder="1"/>
    <xf numFmtId="0" fontId="10" fillId="0" borderId="0" xfId="38" applyFont="1" applyFill="1" applyBorder="1"/>
    <xf numFmtId="0" fontId="11" fillId="0" borderId="19" xfId="38" applyFont="1" applyFill="1" applyBorder="1"/>
    <xf numFmtId="0" fontId="5" fillId="0" borderId="10" xfId="38" applyFill="1" applyBorder="1"/>
    <xf numFmtId="0" fontId="10" fillId="0" borderId="15" xfId="38" applyFont="1" applyFill="1" applyBorder="1"/>
    <xf numFmtId="0" fontId="5" fillId="0" borderId="15" xfId="38" applyFill="1" applyBorder="1"/>
    <xf numFmtId="165" fontId="11" fillId="0" borderId="18" xfId="38" applyNumberFormat="1" applyFont="1" applyFill="1" applyBorder="1" applyAlignment="1">
      <alignment horizontal="right" vertical="top"/>
    </xf>
    <xf numFmtId="165" fontId="11" fillId="0" borderId="0" xfId="38" applyNumberFormat="1" applyFont="1" applyFill="1" applyBorder="1" applyAlignment="1">
      <alignment horizontal="right" vertical="top"/>
    </xf>
    <xf numFmtId="165" fontId="11" fillId="0" borderId="23" xfId="38" applyNumberFormat="1" applyFont="1" applyFill="1" applyBorder="1" applyAlignment="1">
      <alignment horizontal="right" vertical="top"/>
    </xf>
    <xf numFmtId="165" fontId="10" fillId="0" borderId="33" xfId="38" applyNumberFormat="1" applyFont="1" applyFill="1" applyBorder="1" applyAlignment="1">
      <alignment horizontal="right" vertical="top"/>
    </xf>
    <xf numFmtId="165" fontId="10" fillId="0" borderId="44" xfId="38" applyNumberFormat="1" applyFont="1" applyFill="1" applyBorder="1" applyAlignment="1">
      <alignment horizontal="right" vertical="top"/>
    </xf>
    <xf numFmtId="165" fontId="10" fillId="0" borderId="35" xfId="38" applyNumberFormat="1" applyFont="1" applyFill="1" applyBorder="1" applyAlignment="1">
      <alignment horizontal="right" vertical="top"/>
    </xf>
    <xf numFmtId="164" fontId="11" fillId="0" borderId="18" xfId="45" applyNumberFormat="1" applyFont="1" applyFill="1" applyBorder="1" applyAlignment="1">
      <alignment horizontal="right" vertical="top"/>
    </xf>
    <xf numFmtId="164" fontId="11" fillId="0" borderId="23" xfId="45" applyNumberFormat="1" applyFont="1" applyFill="1" applyBorder="1" applyAlignment="1">
      <alignment horizontal="right" vertical="top"/>
    </xf>
    <xf numFmtId="164" fontId="10" fillId="0" borderId="20" xfId="45" applyNumberFormat="1" applyFont="1" applyFill="1" applyBorder="1" applyAlignment="1">
      <alignment horizontal="right" vertical="top"/>
    </xf>
    <xf numFmtId="164" fontId="10" fillId="0" borderId="15" xfId="45" applyNumberFormat="1" applyFont="1" applyFill="1" applyBorder="1" applyAlignment="1">
      <alignment horizontal="right" vertical="top"/>
    </xf>
    <xf numFmtId="164" fontId="10" fillId="0" borderId="24" xfId="45" applyNumberFormat="1" applyFont="1" applyFill="1" applyBorder="1" applyAlignment="1">
      <alignment horizontal="right" vertical="top"/>
    </xf>
    <xf numFmtId="0" fontId="11" fillId="0" borderId="0" xfId="0" applyFont="1" applyFill="1" applyBorder="1" applyAlignment="1">
      <alignment horizontal="left" vertical="top"/>
    </xf>
    <xf numFmtId="0" fontId="11" fillId="0" borderId="0" xfId="0" applyFont="1" applyFill="1" applyBorder="1" applyAlignment="1">
      <alignment vertical="top"/>
    </xf>
    <xf numFmtId="0" fontId="11" fillId="0" borderId="0" xfId="0" applyFont="1" applyFill="1" applyBorder="1" applyAlignment="1">
      <alignment vertical="top" wrapText="1"/>
    </xf>
    <xf numFmtId="0" fontId="41" fillId="25" borderId="47" xfId="0" applyFont="1" applyFill="1" applyBorder="1" applyAlignment="1">
      <alignment vertical="center"/>
    </xf>
    <xf numFmtId="165" fontId="41" fillId="25" borderId="48" xfId="0" applyNumberFormat="1" applyFont="1" applyFill="1" applyBorder="1" applyAlignment="1">
      <alignment vertical="center"/>
    </xf>
    <xf numFmtId="165" fontId="41" fillId="25" borderId="49" xfId="0" applyNumberFormat="1" applyFont="1" applyFill="1" applyBorder="1" applyAlignment="1">
      <alignment vertical="center"/>
    </xf>
    <xf numFmtId="0" fontId="42" fillId="25" borderId="31" xfId="0" applyFont="1" applyFill="1" applyBorder="1"/>
    <xf numFmtId="165" fontId="42" fillId="25" borderId="32" xfId="0" applyNumberFormat="1" applyFont="1" applyFill="1" applyBorder="1"/>
    <xf numFmtId="165" fontId="42" fillId="25" borderId="32" xfId="0" applyNumberFormat="1" applyFont="1" applyFill="1" applyBorder="1" applyAlignment="1" applyProtection="1">
      <alignment horizontal="right" vertical="center"/>
      <protection locked="0"/>
    </xf>
    <xf numFmtId="165" fontId="42" fillId="25" borderId="45" xfId="0" applyNumberFormat="1" applyFont="1" applyFill="1" applyBorder="1" applyAlignment="1" applyProtection="1">
      <alignment horizontal="right" vertical="center"/>
      <protection locked="0"/>
    </xf>
    <xf numFmtId="0" fontId="42" fillId="25" borderId="30" xfId="0" applyFont="1" applyFill="1" applyBorder="1"/>
    <xf numFmtId="164" fontId="42" fillId="25" borderId="11" xfId="45" applyNumberFormat="1" applyFont="1" applyFill="1" applyBorder="1" applyAlignment="1">
      <alignment horizontal="right" vertical="top"/>
    </xf>
    <xf numFmtId="164" fontId="42" fillId="25" borderId="46" xfId="45" applyNumberFormat="1" applyFont="1" applyFill="1" applyBorder="1" applyAlignment="1">
      <alignment horizontal="right" vertical="top"/>
    </xf>
    <xf numFmtId="2" fontId="12" fillId="0" borderId="33" xfId="0" applyNumberFormat="1" applyFont="1" applyFill="1" applyBorder="1" applyAlignment="1">
      <alignment horizontal="center" vertical="top" wrapText="1"/>
    </xf>
    <xf numFmtId="2" fontId="12" fillId="0" borderId="34" xfId="0" applyNumberFormat="1" applyFont="1" applyFill="1" applyBorder="1" applyAlignment="1">
      <alignment horizontal="center" vertical="top" wrapText="1"/>
    </xf>
    <xf numFmtId="2" fontId="12" fillId="0" borderId="35" xfId="0" applyNumberFormat="1" applyFont="1" applyFill="1" applyBorder="1" applyAlignment="1">
      <alignment horizontal="center" vertical="top" wrapText="1"/>
    </xf>
    <xf numFmtId="0" fontId="11" fillId="0" borderId="0" xfId="0" applyFont="1" applyFill="1" applyBorder="1" applyAlignment="1">
      <alignment vertical="center" wrapText="1"/>
    </xf>
    <xf numFmtId="164" fontId="42" fillId="25" borderId="45" xfId="45" applyNumberFormat="1" applyFont="1" applyFill="1" applyBorder="1" applyAlignment="1">
      <alignment horizontal="right" vertical="top"/>
    </xf>
    <xf numFmtId="0" fontId="42" fillId="25" borderId="12" xfId="0" applyFont="1" applyFill="1" applyBorder="1"/>
    <xf numFmtId="164" fontId="42" fillId="25" borderId="23" xfId="45" applyNumberFormat="1" applyFont="1" applyFill="1" applyBorder="1" applyAlignment="1">
      <alignment horizontal="right" vertical="top"/>
    </xf>
    <xf numFmtId="0" fontId="42" fillId="25" borderId="12" xfId="0" applyFont="1" applyFill="1" applyBorder="1" applyAlignment="1">
      <alignment vertical="center"/>
    </xf>
    <xf numFmtId="164" fontId="42" fillId="25" borderId="48" xfId="45" applyNumberFormat="1" applyFont="1" applyFill="1" applyBorder="1"/>
    <xf numFmtId="164" fontId="42" fillId="25" borderId="49" xfId="45" applyNumberFormat="1" applyFont="1" applyFill="1" applyBorder="1"/>
    <xf numFmtId="0" fontId="42" fillId="25" borderId="47" xfId="0" applyFont="1" applyFill="1" applyBorder="1"/>
    <xf numFmtId="0" fontId="21" fillId="0" borderId="0" xfId="0" applyFont="1" applyFill="1"/>
    <xf numFmtId="0" fontId="20" fillId="0" borderId="12" xfId="0" applyFont="1" applyFill="1" applyBorder="1" applyAlignment="1">
      <alignment vertical="center"/>
    </xf>
    <xf numFmtId="0" fontId="8" fillId="0" borderId="23" xfId="34" applyFill="1" applyBorder="1" applyAlignment="1" applyProtection="1"/>
    <xf numFmtId="0" fontId="6" fillId="0" borderId="12" xfId="0" applyFont="1" applyFill="1" applyBorder="1" applyAlignment="1">
      <alignment vertical="center"/>
    </xf>
    <xf numFmtId="0" fontId="8" fillId="0" borderId="23" xfId="34" applyFill="1" applyBorder="1" applyAlignment="1" applyProtection="1">
      <alignment horizontal="left" indent="2"/>
    </xf>
    <xf numFmtId="0" fontId="8" fillId="0" borderId="46" xfId="34" applyFill="1" applyBorder="1" applyAlignment="1" applyProtection="1">
      <alignment horizontal="left" indent="2"/>
    </xf>
    <xf numFmtId="0" fontId="9" fillId="0" borderId="0" xfId="0" applyFont="1" applyFill="1"/>
    <xf numFmtId="164" fontId="42" fillId="25" borderId="50" xfId="45" applyNumberFormat="1" applyFont="1" applyFill="1" applyBorder="1" applyAlignment="1">
      <alignment horizontal="right" vertical="top"/>
    </xf>
    <xf numFmtId="165" fontId="42" fillId="25" borderId="50" xfId="0" applyNumberFormat="1" applyFont="1" applyFill="1" applyBorder="1"/>
    <xf numFmtId="169" fontId="7" fillId="0" borderId="0" xfId="50" applyNumberFormat="1" applyFont="1" applyFill="1" applyBorder="1" applyAlignment="1">
      <alignment horizontal="right" vertical="top"/>
    </xf>
    <xf numFmtId="169" fontId="7" fillId="0" borderId="11" xfId="50" applyNumberFormat="1" applyFont="1" applyFill="1" applyBorder="1" applyAlignment="1">
      <alignment horizontal="right" vertical="top"/>
    </xf>
    <xf numFmtId="165" fontId="10" fillId="27" borderId="33" xfId="0" applyNumberFormat="1" applyFont="1" applyFill="1" applyBorder="1" applyAlignment="1">
      <alignment horizontal="right" vertical="top"/>
    </xf>
    <xf numFmtId="0" fontId="11" fillId="0" borderId="43" xfId="0" applyFont="1" applyFill="1" applyBorder="1" applyAlignment="1">
      <alignment vertical="top"/>
    </xf>
    <xf numFmtId="0" fontId="10" fillId="0" borderId="44" xfId="0" applyFont="1" applyFill="1" applyBorder="1" applyAlignment="1">
      <alignment horizontal="left" vertical="top"/>
    </xf>
    <xf numFmtId="0" fontId="10" fillId="0" borderId="34" xfId="0" applyFont="1" applyFill="1" applyBorder="1" applyAlignment="1">
      <alignment horizontal="left" vertical="top" wrapText="1"/>
    </xf>
    <xf numFmtId="0" fontId="10" fillId="0" borderId="34" xfId="0" applyFont="1" applyFill="1" applyBorder="1" applyAlignment="1">
      <alignment horizontal="left" vertical="top" wrapText="1"/>
    </xf>
    <xf numFmtId="2" fontId="12" fillId="0" borderId="25" xfId="0" applyNumberFormat="1" applyFont="1" applyFill="1" applyBorder="1" applyAlignment="1">
      <alignment horizontal="left" vertical="top"/>
    </xf>
    <xf numFmtId="0" fontId="0" fillId="0" borderId="32" xfId="0" applyBorder="1"/>
    <xf numFmtId="0" fontId="0" fillId="0" borderId="45" xfId="0" applyBorder="1"/>
    <xf numFmtId="0" fontId="10" fillId="0" borderId="25" xfId="0" applyFont="1" applyFill="1" applyBorder="1" applyAlignment="1">
      <alignment horizontal="left" vertical="center"/>
    </xf>
    <xf numFmtId="2" fontId="12" fillId="0" borderId="52" xfId="0" applyNumberFormat="1" applyFont="1" applyFill="1" applyBorder="1" applyAlignment="1">
      <alignment horizontal="center" vertical="top" wrapText="1"/>
    </xf>
    <xf numFmtId="0" fontId="11" fillId="0" borderId="12" xfId="0" applyFont="1" applyFill="1" applyBorder="1" applyAlignment="1">
      <alignment vertical="center"/>
    </xf>
    <xf numFmtId="165" fontId="11" fillId="0" borderId="37" xfId="0" applyNumberFormat="1" applyFont="1" applyFill="1" applyBorder="1" applyAlignment="1">
      <alignment horizontal="right" vertical="top"/>
    </xf>
    <xf numFmtId="0" fontId="10" fillId="0" borderId="43" xfId="0" applyFont="1" applyFill="1" applyBorder="1"/>
    <xf numFmtId="165" fontId="10" fillId="0" borderId="53" xfId="0" applyNumberFormat="1" applyFont="1" applyFill="1" applyBorder="1" applyAlignment="1">
      <alignment horizontal="right" vertical="top"/>
    </xf>
    <xf numFmtId="164" fontId="11" fillId="0" borderId="37" xfId="45" applyNumberFormat="1" applyFont="1" applyFill="1" applyBorder="1" applyAlignment="1">
      <alignment horizontal="right" vertical="top"/>
    </xf>
    <xf numFmtId="0" fontId="11" fillId="0" borderId="30" xfId="0" applyFont="1" applyFill="1" applyBorder="1" applyAlignment="1">
      <alignment vertical="center"/>
    </xf>
    <xf numFmtId="164" fontId="11" fillId="0" borderId="36" xfId="45" applyNumberFormat="1" applyFont="1" applyFill="1" applyBorder="1" applyAlignment="1">
      <alignment horizontal="right" vertical="top"/>
    </xf>
    <xf numFmtId="164" fontId="11" fillId="0" borderId="38" xfId="45" applyNumberFormat="1" applyFont="1" applyFill="1" applyBorder="1" applyAlignment="1">
      <alignment horizontal="right" vertical="top"/>
    </xf>
    <xf numFmtId="165" fontId="0" fillId="0" borderId="0" xfId="0" applyNumberFormat="1" applyFill="1"/>
    <xf numFmtId="0" fontId="10" fillId="0" borderId="0" xfId="0" applyFont="1" applyFill="1" applyBorder="1" applyAlignment="1">
      <alignment horizontal="left" vertical="top" wrapText="1"/>
    </xf>
    <xf numFmtId="2" fontId="12" fillId="0" borderId="18" xfId="0" applyNumberFormat="1" applyFont="1" applyFill="1" applyBorder="1" applyAlignment="1">
      <alignment horizontal="center" vertical="top" wrapText="1"/>
    </xf>
    <xf numFmtId="2" fontId="12" fillId="0" borderId="19" xfId="0" applyNumberFormat="1" applyFont="1" applyFill="1" applyBorder="1" applyAlignment="1">
      <alignment horizontal="center" vertical="top" wrapText="1"/>
    </xf>
    <xf numFmtId="2" fontId="12" fillId="0" borderId="42" xfId="0" applyNumberFormat="1" applyFont="1" applyFill="1" applyBorder="1" applyAlignment="1">
      <alignment horizontal="center" vertical="top" wrapText="1"/>
    </xf>
    <xf numFmtId="0" fontId="0" fillId="0" borderId="0" xfId="0" applyFill="1" applyBorder="1"/>
    <xf numFmtId="0" fontId="10" fillId="0" borderId="0" xfId="0" applyFont="1" applyFill="1" applyBorder="1" applyAlignment="1">
      <alignment horizontal="left" vertical="top"/>
    </xf>
    <xf numFmtId="0" fontId="10" fillId="0" borderId="0" xfId="0" applyFont="1" applyFill="1" applyBorder="1" applyAlignment="1">
      <alignment horizontal="left" vertical="center"/>
    </xf>
    <xf numFmtId="0" fontId="0" fillId="0" borderId="31" xfId="0" applyBorder="1"/>
    <xf numFmtId="1" fontId="12" fillId="0" borderId="54" xfId="0" applyNumberFormat="1" applyFont="1" applyFill="1" applyBorder="1" applyAlignment="1">
      <alignment horizontal="center" vertical="top" wrapText="1"/>
    </xf>
    <xf numFmtId="2" fontId="12" fillId="0" borderId="55" xfId="0" applyNumberFormat="1" applyFont="1" applyFill="1" applyBorder="1" applyAlignment="1">
      <alignment horizontal="center" vertical="top" wrapText="1"/>
    </xf>
    <xf numFmtId="0" fontId="3" fillId="0" borderId="0" xfId="53"/>
    <xf numFmtId="0" fontId="6" fillId="28" borderId="47" xfId="0" applyFont="1" applyFill="1" applyBorder="1"/>
    <xf numFmtId="0" fontId="6" fillId="28" borderId="49" xfId="0" applyFont="1" applyFill="1" applyBorder="1"/>
    <xf numFmtId="0" fontId="11" fillId="0" borderId="39" xfId="0" applyFont="1" applyBorder="1"/>
    <xf numFmtId="2" fontId="12" fillId="0" borderId="41" xfId="0" applyNumberFormat="1" applyFont="1" applyFill="1" applyBorder="1" applyAlignment="1">
      <alignment horizontal="center" vertical="top" wrapText="1"/>
    </xf>
    <xf numFmtId="2" fontId="12" fillId="0" borderId="58" xfId="0" applyNumberFormat="1" applyFont="1" applyFill="1" applyBorder="1" applyAlignment="1">
      <alignment horizontal="center" vertical="top" wrapText="1"/>
    </xf>
    <xf numFmtId="0" fontId="10" fillId="0" borderId="13" xfId="0" applyFont="1" applyFill="1" applyBorder="1" applyAlignment="1">
      <alignment horizontal="left" vertical="top" wrapText="1"/>
    </xf>
    <xf numFmtId="0" fontId="10" fillId="0" borderId="12" xfId="0" applyFont="1" applyFill="1" applyBorder="1"/>
    <xf numFmtId="0" fontId="11" fillId="0" borderId="12" xfId="0" applyFont="1" applyFill="1" applyBorder="1" applyAlignment="1">
      <alignment horizontal="left" vertical="center"/>
    </xf>
    <xf numFmtId="0" fontId="10" fillId="0" borderId="31" xfId="0" applyFont="1" applyFill="1" applyBorder="1" applyAlignment="1">
      <alignment horizontal="left" vertical="center"/>
    </xf>
    <xf numFmtId="17" fontId="10" fillId="0" borderId="59" xfId="0" quotePrefix="1" applyNumberFormat="1" applyFont="1" applyFill="1" applyBorder="1" applyAlignment="1">
      <alignment horizontal="centerContinuous" vertical="center"/>
    </xf>
    <xf numFmtId="0" fontId="10" fillId="0" borderId="59" xfId="0" quotePrefix="1" applyFont="1" applyFill="1" applyBorder="1" applyAlignment="1">
      <alignment horizontal="centerContinuous" vertical="center"/>
    </xf>
    <xf numFmtId="0" fontId="10" fillId="0" borderId="60" xfId="0" quotePrefix="1" applyFont="1" applyFill="1" applyBorder="1" applyAlignment="1">
      <alignment horizontal="centerContinuous" vertical="center"/>
    </xf>
    <xf numFmtId="17" fontId="10" fillId="0" borderId="26" xfId="0" applyNumberFormat="1" applyFont="1" applyFill="1" applyBorder="1" applyAlignment="1">
      <alignment horizontal="centerContinuous" vertical="center"/>
    </xf>
    <xf numFmtId="17" fontId="10" fillId="0" borderId="29" xfId="0" applyNumberFormat="1" applyFont="1" applyFill="1" applyBorder="1" applyAlignment="1">
      <alignment horizontal="centerContinuous" vertical="center"/>
    </xf>
    <xf numFmtId="0" fontId="7" fillId="0" borderId="0" xfId="0" applyFont="1" applyFill="1" applyBorder="1"/>
    <xf numFmtId="0" fontId="7" fillId="0" borderId="0" xfId="0" applyFont="1" applyFill="1" applyBorder="1" applyAlignment="1">
      <alignment vertical="top" wrapText="1"/>
    </xf>
    <xf numFmtId="164" fontId="7" fillId="0" borderId="0" xfId="45" applyNumberFormat="1" applyFont="1" applyFill="1" applyBorder="1" applyAlignment="1">
      <alignment horizontal="center" vertical="top"/>
    </xf>
    <xf numFmtId="164" fontId="7" fillId="0" borderId="23" xfId="45" applyNumberFormat="1" applyFont="1" applyFill="1" applyBorder="1" applyAlignment="1">
      <alignment horizontal="center" vertical="top"/>
    </xf>
    <xf numFmtId="164" fontId="7" fillId="0" borderId="46" xfId="45" applyNumberFormat="1" applyFont="1" applyFill="1" applyBorder="1" applyAlignment="1">
      <alignment horizontal="center" vertical="top"/>
    </xf>
    <xf numFmtId="164" fontId="42" fillId="25" borderId="62" xfId="45" applyNumberFormat="1" applyFont="1" applyFill="1" applyBorder="1"/>
    <xf numFmtId="0" fontId="45" fillId="25" borderId="31" xfId="0" applyFont="1" applyFill="1" applyBorder="1"/>
    <xf numFmtId="165" fontId="45" fillId="25" borderId="32" xfId="0" applyNumberFormat="1" applyFont="1" applyFill="1" applyBorder="1" applyAlignment="1" applyProtection="1">
      <alignment horizontal="right" vertical="center"/>
      <protection locked="0"/>
    </xf>
    <xf numFmtId="165" fontId="45" fillId="25" borderId="45" xfId="0" applyNumberFormat="1" applyFont="1" applyFill="1" applyBorder="1" applyAlignment="1" applyProtection="1">
      <alignment horizontal="right" vertical="center"/>
      <protection locked="0"/>
    </xf>
    <xf numFmtId="165" fontId="42" fillId="25" borderId="0" xfId="0" applyNumberFormat="1" applyFont="1" applyFill="1" applyBorder="1" applyAlignment="1" applyProtection="1">
      <alignment horizontal="right" vertical="center"/>
      <protection locked="0"/>
    </xf>
    <xf numFmtId="165" fontId="42" fillId="25" borderId="23" xfId="0" applyNumberFormat="1" applyFont="1" applyFill="1" applyBorder="1" applyAlignment="1" applyProtection="1">
      <alignment horizontal="right" vertical="center"/>
      <protection locked="0"/>
    </xf>
    <xf numFmtId="165" fontId="42" fillId="25" borderId="11" xfId="0" applyNumberFormat="1" applyFont="1" applyFill="1" applyBorder="1" applyAlignment="1" applyProtection="1">
      <alignment horizontal="right" vertical="center"/>
      <protection locked="0"/>
    </xf>
    <xf numFmtId="165" fontId="42" fillId="25" borderId="46" xfId="0" applyNumberFormat="1" applyFont="1" applyFill="1" applyBorder="1" applyAlignment="1" applyProtection="1">
      <alignment horizontal="right" vertical="center"/>
      <protection locked="0"/>
    </xf>
    <xf numFmtId="0" fontId="42" fillId="25" borderId="31" xfId="0" applyFont="1" applyFill="1" applyBorder="1" applyAlignment="1">
      <alignment horizontal="left" indent="1"/>
    </xf>
    <xf numFmtId="0" fontId="42" fillId="25" borderId="12" xfId="0" applyFont="1" applyFill="1" applyBorder="1" applyAlignment="1">
      <alignment horizontal="left" indent="1"/>
    </xf>
    <xf numFmtId="0" fontId="42" fillId="25" borderId="30" xfId="0" applyFont="1" applyFill="1" applyBorder="1" applyAlignment="1">
      <alignment horizontal="left" indent="1"/>
    </xf>
    <xf numFmtId="11" fontId="0" fillId="0" borderId="0" xfId="0" applyNumberFormat="1"/>
    <xf numFmtId="11" fontId="11" fillId="0" borderId="0" xfId="0" applyNumberFormat="1" applyFont="1"/>
    <xf numFmtId="165" fontId="15" fillId="25" borderId="0" xfId="0" applyNumberFormat="1" applyFont="1" applyFill="1" applyBorder="1" applyAlignment="1">
      <alignment horizontal="right" vertical="top"/>
    </xf>
    <xf numFmtId="165" fontId="15" fillId="25" borderId="23" xfId="0" applyNumberFormat="1" applyFont="1" applyFill="1" applyBorder="1" applyAlignment="1">
      <alignment horizontal="right" vertical="top"/>
    </xf>
    <xf numFmtId="165" fontId="15" fillId="25" borderId="11" xfId="0" applyNumberFormat="1" applyFont="1" applyFill="1" applyBorder="1" applyAlignment="1">
      <alignment horizontal="right" vertical="top"/>
    </xf>
    <xf numFmtId="165" fontId="15" fillId="25" borderId="46" xfId="0" applyNumberFormat="1" applyFont="1" applyFill="1" applyBorder="1" applyAlignment="1">
      <alignment horizontal="right" vertical="top"/>
    </xf>
    <xf numFmtId="0" fontId="15" fillId="25" borderId="12" xfId="0" applyFont="1" applyFill="1" applyBorder="1" applyAlignment="1">
      <alignment horizontal="left" vertical="center" indent="1"/>
    </xf>
    <xf numFmtId="0" fontId="15" fillId="25" borderId="30" xfId="0" applyFont="1" applyFill="1" applyBorder="1" applyAlignment="1">
      <alignment horizontal="left" vertical="center" indent="1"/>
    </xf>
    <xf numFmtId="0" fontId="46" fillId="25" borderId="47" xfId="0" applyFont="1" applyFill="1" applyBorder="1" applyAlignment="1">
      <alignment vertical="center"/>
    </xf>
    <xf numFmtId="165" fontId="46" fillId="25" borderId="48" xfId="0" applyNumberFormat="1" applyFont="1" applyFill="1" applyBorder="1" applyAlignment="1">
      <alignment horizontal="right" vertical="top"/>
    </xf>
    <xf numFmtId="165" fontId="46" fillId="25" borderId="49" xfId="0" applyNumberFormat="1" applyFont="1" applyFill="1" applyBorder="1" applyAlignment="1">
      <alignment horizontal="right" vertical="top"/>
    </xf>
    <xf numFmtId="164" fontId="42" fillId="25" borderId="12" xfId="45" applyNumberFormat="1" applyFont="1" applyFill="1" applyBorder="1" applyAlignment="1">
      <alignment horizontal="left" vertical="center" indent="1"/>
    </xf>
    <xf numFmtId="164" fontId="42" fillId="25" borderId="30" xfId="45" applyNumberFormat="1" applyFont="1" applyFill="1" applyBorder="1" applyAlignment="1">
      <alignment horizontal="left" vertical="center" indent="1"/>
    </xf>
    <xf numFmtId="170" fontId="42" fillId="25" borderId="0" xfId="51" applyNumberFormat="1" applyFont="1" applyFill="1" applyBorder="1" applyAlignment="1">
      <alignment vertical="center"/>
    </xf>
    <xf numFmtId="170" fontId="42" fillId="25" borderId="23" xfId="51" applyNumberFormat="1" applyFont="1" applyFill="1" applyBorder="1" applyAlignment="1">
      <alignment vertical="center"/>
    </xf>
    <xf numFmtId="170" fontId="42" fillId="25" borderId="11" xfId="51" applyNumberFormat="1" applyFont="1" applyFill="1" applyBorder="1" applyAlignment="1">
      <alignment vertical="center"/>
    </xf>
    <xf numFmtId="170" fontId="42" fillId="25" borderId="46" xfId="51" applyNumberFormat="1" applyFont="1" applyFill="1" applyBorder="1" applyAlignment="1">
      <alignment vertical="center"/>
    </xf>
    <xf numFmtId="170" fontId="0" fillId="0" borderId="0" xfId="51" applyNumberFormat="1" applyFont="1"/>
    <xf numFmtId="170" fontId="0" fillId="0" borderId="0" xfId="51" applyNumberFormat="1" applyFont="1" applyFill="1"/>
    <xf numFmtId="164" fontId="45" fillId="25" borderId="47" xfId="45" applyNumberFormat="1" applyFont="1" applyFill="1" applyBorder="1" applyAlignment="1">
      <alignment vertical="center"/>
    </xf>
    <xf numFmtId="170" fontId="45" fillId="25" borderId="48" xfId="51" applyNumberFormat="1" applyFont="1" applyFill="1" applyBorder="1" applyAlignment="1">
      <alignment vertical="center"/>
    </xf>
    <xf numFmtId="170" fontId="45" fillId="25" borderId="49" xfId="51" applyNumberFormat="1" applyFont="1" applyFill="1" applyBorder="1" applyAlignment="1">
      <alignment vertical="center"/>
    </xf>
    <xf numFmtId="164" fontId="42" fillId="25" borderId="31" xfId="45" applyNumberFormat="1" applyFont="1" applyFill="1" applyBorder="1" applyAlignment="1">
      <alignment horizontal="left" vertical="center" indent="1"/>
    </xf>
    <xf numFmtId="170" fontId="42" fillId="25" borderId="32" xfId="51" applyNumberFormat="1" applyFont="1" applyFill="1" applyBorder="1" applyAlignment="1">
      <alignment vertical="center"/>
    </xf>
    <xf numFmtId="170" fontId="42" fillId="25" borderId="45" xfId="51" applyNumberFormat="1" applyFont="1" applyFill="1" applyBorder="1" applyAlignment="1">
      <alignment vertical="center"/>
    </xf>
    <xf numFmtId="168" fontId="10" fillId="0" borderId="33" xfId="45" applyNumberFormat="1" applyFont="1" applyFill="1" applyBorder="1" applyAlignment="1">
      <alignment horizontal="right" vertical="top"/>
    </xf>
    <xf numFmtId="168" fontId="10" fillId="0" borderId="44" xfId="45" applyNumberFormat="1" applyFont="1" applyFill="1" applyBorder="1" applyAlignment="1">
      <alignment horizontal="right" vertical="top"/>
    </xf>
    <xf numFmtId="168" fontId="10" fillId="0" borderId="35" xfId="45" applyNumberFormat="1" applyFont="1" applyFill="1" applyBorder="1" applyAlignment="1">
      <alignment horizontal="right" vertical="top"/>
    </xf>
    <xf numFmtId="0" fontId="11" fillId="0" borderId="10" xfId="0" applyFont="1" applyFill="1" applyBorder="1"/>
    <xf numFmtId="168" fontId="11" fillId="0" borderId="20" xfId="45" applyNumberFormat="1" applyFont="1" applyFill="1" applyBorder="1" applyAlignment="1">
      <alignment horizontal="right" vertical="top"/>
    </xf>
    <xf numFmtId="168" fontId="11" fillId="0" borderId="15" xfId="45" applyNumberFormat="1" applyFont="1" applyFill="1" applyBorder="1" applyAlignment="1">
      <alignment horizontal="right" vertical="top"/>
    </xf>
    <xf numFmtId="168" fontId="11" fillId="0" borderId="24" xfId="45" applyNumberFormat="1" applyFont="1" applyFill="1" applyBorder="1" applyAlignment="1">
      <alignment horizontal="right" vertical="top"/>
    </xf>
    <xf numFmtId="0" fontId="7" fillId="0" borderId="0" xfId="0" applyFont="1" applyFill="1" applyBorder="1" applyAlignment="1">
      <alignment vertical="top"/>
    </xf>
    <xf numFmtId="0" fontId="7" fillId="0" borderId="21" xfId="0" applyFont="1" applyFill="1" applyBorder="1" applyAlignment="1">
      <alignment vertical="top"/>
    </xf>
    <xf numFmtId="165" fontId="41" fillId="25" borderId="0" xfId="0" applyNumberFormat="1" applyFont="1" applyFill="1" applyBorder="1"/>
    <xf numFmtId="165" fontId="41" fillId="25" borderId="23" xfId="0" applyNumberFormat="1" applyFont="1" applyFill="1" applyBorder="1"/>
    <xf numFmtId="165" fontId="41" fillId="25" borderId="11" xfId="0" applyNumberFormat="1" applyFont="1" applyFill="1" applyBorder="1"/>
    <xf numFmtId="165" fontId="41" fillId="25" borderId="46" xfId="0" applyNumberFormat="1" applyFont="1" applyFill="1" applyBorder="1"/>
    <xf numFmtId="165" fontId="41" fillId="25" borderId="47" xfId="0" applyNumberFormat="1" applyFont="1" applyFill="1" applyBorder="1"/>
    <xf numFmtId="165" fontId="41" fillId="25" borderId="12" xfId="0" applyNumberFormat="1" applyFont="1" applyFill="1" applyBorder="1" applyAlignment="1">
      <alignment horizontal="left" indent="1"/>
    </xf>
    <xf numFmtId="165" fontId="41" fillId="25" borderId="30" xfId="0" applyNumberFormat="1" applyFont="1" applyFill="1" applyBorder="1" applyAlignment="1">
      <alignment horizontal="left" indent="1"/>
    </xf>
    <xf numFmtId="165" fontId="42" fillId="25" borderId="0" xfId="0" applyNumberFormat="1" applyFont="1" applyFill="1" applyBorder="1"/>
    <xf numFmtId="165" fontId="42" fillId="25" borderId="11" xfId="0" applyNumberFormat="1" applyFont="1" applyFill="1" applyBorder="1"/>
    <xf numFmtId="165" fontId="45" fillId="25" borderId="32" xfId="0" applyNumberFormat="1" applyFont="1" applyFill="1" applyBorder="1"/>
    <xf numFmtId="165" fontId="11" fillId="0" borderId="56" xfId="0" applyNumberFormat="1" applyFont="1" applyFill="1" applyBorder="1" applyAlignment="1">
      <alignment horizontal="right" vertical="top"/>
    </xf>
    <xf numFmtId="165" fontId="10" fillId="0" borderId="57" xfId="0" applyNumberFormat="1" applyFont="1" applyFill="1" applyBorder="1" applyAlignment="1">
      <alignment horizontal="right" vertical="top"/>
    </xf>
    <xf numFmtId="0" fontId="20" fillId="0" borderId="30" xfId="0" applyFont="1" applyFill="1" applyBorder="1" applyAlignment="1">
      <alignment vertical="center"/>
    </xf>
    <xf numFmtId="165" fontId="10" fillId="27" borderId="20" xfId="0" applyNumberFormat="1" applyFont="1" applyFill="1" applyBorder="1" applyAlignment="1">
      <alignment horizontal="right" vertical="top"/>
    </xf>
    <xf numFmtId="165" fontId="10" fillId="0" borderId="21" xfId="0" applyNumberFormat="1" applyFont="1" applyFill="1" applyBorder="1" applyAlignment="1">
      <alignment horizontal="right" vertical="top"/>
    </xf>
    <xf numFmtId="0" fontId="53" fillId="0" borderId="0" xfId="53" applyFont="1"/>
    <xf numFmtId="0" fontId="0" fillId="0" borderId="56" xfId="0" applyBorder="1"/>
    <xf numFmtId="0" fontId="0" fillId="0" borderId="50" xfId="0" applyBorder="1"/>
    <xf numFmtId="0" fontId="9" fillId="0" borderId="0" xfId="0" applyFont="1" applyFill="1" applyBorder="1" applyAlignment="1">
      <alignment horizontal="centerContinuous"/>
    </xf>
    <xf numFmtId="0" fontId="7" fillId="0" borderId="0" xfId="0" applyFont="1" applyFill="1" applyBorder="1" applyAlignment="1">
      <alignment vertical="center"/>
    </xf>
    <xf numFmtId="0" fontId="7" fillId="0" borderId="15" xfId="0" applyFont="1" applyFill="1" applyBorder="1" applyAlignment="1">
      <alignment vertical="center"/>
    </xf>
    <xf numFmtId="0" fontId="5" fillId="0" borderId="0" xfId="38" applyFont="1" applyAlignment="1" applyProtection="1">
      <alignment vertical="center"/>
      <protection locked="0"/>
    </xf>
    <xf numFmtId="0" fontId="7" fillId="0" borderId="0" xfId="38" applyFont="1" applyAlignment="1" applyProtection="1">
      <alignment vertical="center"/>
      <protection locked="0"/>
    </xf>
    <xf numFmtId="0" fontId="5" fillId="0" borderId="0" xfId="38"/>
    <xf numFmtId="170" fontId="10" fillId="0" borderId="23" xfId="57" applyNumberFormat="1" applyFont="1" applyFill="1" applyBorder="1" applyAlignment="1">
      <alignment vertical="top"/>
    </xf>
    <xf numFmtId="2" fontId="12" fillId="0" borderId="23" xfId="38" applyNumberFormat="1" applyFont="1" applyFill="1" applyBorder="1" applyAlignment="1">
      <alignment horizontal="center" vertical="top" wrapText="1"/>
    </xf>
    <xf numFmtId="164" fontId="10" fillId="0" borderId="23" xfId="69" applyNumberFormat="1" applyFont="1" applyFill="1" applyBorder="1" applyAlignment="1">
      <alignment vertical="top"/>
    </xf>
    <xf numFmtId="164" fontId="10" fillId="0" borderId="46" xfId="69" applyNumberFormat="1" applyFont="1" applyFill="1" applyBorder="1" applyAlignment="1">
      <alignment vertical="top"/>
    </xf>
    <xf numFmtId="0" fontId="7" fillId="0" borderId="0" xfId="38" applyFont="1"/>
    <xf numFmtId="0" fontId="42" fillId="25" borderId="61" xfId="0" applyFont="1" applyFill="1" applyBorder="1"/>
    <xf numFmtId="165" fontId="42" fillId="25" borderId="31" xfId="0" applyNumberFormat="1" applyFont="1" applyFill="1" applyBorder="1" applyAlignment="1" applyProtection="1">
      <alignment horizontal="right" vertical="center"/>
      <protection locked="0"/>
    </xf>
    <xf numFmtId="0" fontId="42" fillId="25" borderId="62" xfId="0" applyFont="1" applyFill="1" applyBorder="1"/>
    <xf numFmtId="165" fontId="42" fillId="25" borderId="30" xfId="0" applyNumberFormat="1" applyFont="1" applyFill="1" applyBorder="1" applyAlignment="1" applyProtection="1">
      <alignment horizontal="right" vertical="center"/>
      <protection locked="0"/>
    </xf>
    <xf numFmtId="170" fontId="7" fillId="0" borderId="56" xfId="51" applyNumberFormat="1" applyFont="1" applyFill="1" applyBorder="1"/>
    <xf numFmtId="2" fontId="12" fillId="0" borderId="47" xfId="0" applyNumberFormat="1" applyFont="1" applyFill="1" applyBorder="1" applyAlignment="1">
      <alignment horizontal="left" vertical="top"/>
    </xf>
    <xf numFmtId="0" fontId="0" fillId="0" borderId="48" xfId="0" applyBorder="1"/>
    <xf numFmtId="0" fontId="0" fillId="0" borderId="49" xfId="0" applyBorder="1"/>
    <xf numFmtId="0" fontId="6" fillId="0" borderId="11" xfId="63" applyFont="1" applyFill="1" applyBorder="1" applyAlignment="1"/>
    <xf numFmtId="0" fontId="11" fillId="0" borderId="43" xfId="0" applyFont="1" applyFill="1" applyBorder="1"/>
    <xf numFmtId="0" fontId="7" fillId="0" borderId="44" xfId="0" applyFont="1" applyFill="1" applyBorder="1" applyAlignment="1">
      <alignment vertical="top"/>
    </xf>
    <xf numFmtId="165" fontId="11" fillId="0" borderId="33" xfId="0" applyNumberFormat="1" applyFont="1" applyFill="1" applyBorder="1" applyAlignment="1">
      <alignment horizontal="right" vertical="top"/>
    </xf>
    <xf numFmtId="165" fontId="11" fillId="0" borderId="44" xfId="0" applyNumberFormat="1" applyFont="1" applyFill="1" applyBorder="1" applyAlignment="1">
      <alignment horizontal="right" vertical="top"/>
    </xf>
    <xf numFmtId="165" fontId="11" fillId="0" borderId="35" xfId="0" applyNumberFormat="1" applyFont="1" applyFill="1" applyBorder="1" applyAlignment="1">
      <alignment horizontal="right" vertical="top"/>
    </xf>
    <xf numFmtId="0" fontId="42" fillId="25" borderId="50" xfId="0" applyFont="1" applyFill="1" applyBorder="1"/>
    <xf numFmtId="165" fontId="10" fillId="0" borderId="56" xfId="0" applyNumberFormat="1" applyFont="1" applyFill="1" applyBorder="1" applyAlignment="1">
      <alignment horizontal="right" vertical="top"/>
    </xf>
    <xf numFmtId="168" fontId="11" fillId="0" borderId="56" xfId="45" applyNumberFormat="1" applyFont="1" applyFill="1" applyBorder="1" applyAlignment="1">
      <alignment horizontal="right" vertical="top"/>
    </xf>
    <xf numFmtId="0" fontId="10" fillId="0" borderId="50" xfId="0" applyFont="1" applyFill="1" applyBorder="1"/>
    <xf numFmtId="164" fontId="0" fillId="0" borderId="0" xfId="45" applyNumberFormat="1" applyFont="1" applyFill="1"/>
    <xf numFmtId="0" fontId="54" fillId="0" borderId="0" xfId="53" applyFont="1"/>
    <xf numFmtId="0" fontId="42" fillId="25" borderId="30" xfId="53" applyFont="1" applyFill="1" applyBorder="1"/>
    <xf numFmtId="0" fontId="42" fillId="25" borderId="46" xfId="53" applyFont="1" applyFill="1" applyBorder="1"/>
    <xf numFmtId="0" fontId="42" fillId="25" borderId="11" xfId="53" applyFont="1" applyFill="1" applyBorder="1"/>
    <xf numFmtId="0" fontId="45" fillId="25" borderId="0" xfId="53" applyFont="1" applyFill="1" applyBorder="1" applyAlignment="1">
      <alignment horizontal="center"/>
    </xf>
    <xf numFmtId="0" fontId="42" fillId="25" borderId="0" xfId="53" applyFont="1" applyFill="1" applyBorder="1" applyAlignment="1">
      <alignment horizontal="center"/>
    </xf>
    <xf numFmtId="176" fontId="42" fillId="25" borderId="0" xfId="59" applyNumberFormat="1" applyFont="1" applyFill="1" applyBorder="1"/>
    <xf numFmtId="170" fontId="42" fillId="25" borderId="0" xfId="59" applyNumberFormat="1" applyFont="1" applyFill="1" applyBorder="1"/>
    <xf numFmtId="0" fontId="42" fillId="25" borderId="0" xfId="53" applyFont="1" applyFill="1" applyBorder="1"/>
    <xf numFmtId="9" fontId="42" fillId="25" borderId="0" xfId="53" applyNumberFormat="1" applyFont="1" applyFill="1" applyBorder="1"/>
    <xf numFmtId="9" fontId="42" fillId="25" borderId="0" xfId="55" applyFont="1" applyFill="1" applyBorder="1"/>
    <xf numFmtId="176" fontId="42" fillId="25" borderId="0" xfId="59" applyNumberFormat="1" applyFont="1" applyFill="1" applyBorder="1" applyAlignment="1">
      <alignment horizontal="center"/>
    </xf>
    <xf numFmtId="9" fontId="42" fillId="25" borderId="0" xfId="55" applyNumberFormat="1" applyFont="1" applyFill="1" applyBorder="1"/>
    <xf numFmtId="176" fontId="42" fillId="25" borderId="0" xfId="59" applyNumberFormat="1" applyFont="1" applyFill="1" applyBorder="1" applyAlignment="1">
      <alignment horizontal="right"/>
    </xf>
    <xf numFmtId="176" fontId="42" fillId="25" borderId="12" xfId="59" applyNumberFormat="1" applyFont="1" applyFill="1" applyBorder="1" applyAlignment="1">
      <alignment horizontal="right"/>
    </xf>
    <xf numFmtId="1" fontId="42" fillId="25" borderId="12" xfId="59" applyNumberFormat="1" applyFont="1" applyFill="1" applyBorder="1"/>
    <xf numFmtId="176" fontId="42" fillId="25" borderId="23" xfId="53" applyNumberFormat="1" applyFont="1" applyFill="1" applyBorder="1"/>
    <xf numFmtId="176" fontId="57" fillId="25" borderId="12" xfId="59" applyNumberFormat="1" applyFont="1" applyFill="1" applyBorder="1" applyAlignment="1">
      <alignment horizontal="left"/>
    </xf>
    <xf numFmtId="0" fontId="41" fillId="25" borderId="0" xfId="53" applyFont="1" applyFill="1" applyBorder="1"/>
    <xf numFmtId="176" fontId="41" fillId="25" borderId="23" xfId="53" applyNumberFormat="1" applyFont="1" applyFill="1" applyBorder="1"/>
    <xf numFmtId="176" fontId="41" fillId="25" borderId="0" xfId="59" applyNumberFormat="1" applyFont="1" applyFill="1" applyBorder="1"/>
    <xf numFmtId="170" fontId="41" fillId="25" borderId="0" xfId="59" applyNumberFormat="1" applyFont="1" applyFill="1" applyBorder="1"/>
    <xf numFmtId="176" fontId="42" fillId="25" borderId="30" xfId="59" applyNumberFormat="1" applyFont="1" applyFill="1" applyBorder="1" applyAlignment="1">
      <alignment horizontal="right"/>
    </xf>
    <xf numFmtId="0" fontId="41" fillId="25" borderId="11" xfId="53" applyFont="1" applyFill="1" applyBorder="1"/>
    <xf numFmtId="176" fontId="42" fillId="25" borderId="11" xfId="59" applyNumberFormat="1" applyFont="1" applyFill="1" applyBorder="1"/>
    <xf numFmtId="170" fontId="42" fillId="25" borderId="11" xfId="59" applyNumberFormat="1" applyFont="1" applyFill="1" applyBorder="1"/>
    <xf numFmtId="176" fontId="41" fillId="25" borderId="46" xfId="53" applyNumberFormat="1" applyFont="1" applyFill="1" applyBorder="1"/>
    <xf numFmtId="0" fontId="45" fillId="25" borderId="30" xfId="53" applyFont="1" applyFill="1" applyBorder="1"/>
    <xf numFmtId="0" fontId="45" fillId="25" borderId="11" xfId="53" applyFont="1" applyFill="1" applyBorder="1"/>
    <xf numFmtId="0" fontId="45" fillId="25" borderId="11" xfId="53" applyFont="1" applyFill="1" applyBorder="1" applyAlignment="1">
      <alignment horizontal="center"/>
    </xf>
    <xf numFmtId="0" fontId="45" fillId="25" borderId="46" xfId="53" applyFont="1" applyFill="1" applyBorder="1" applyAlignment="1">
      <alignment horizontal="center"/>
    </xf>
    <xf numFmtId="0" fontId="53" fillId="25" borderId="12" xfId="53" applyFont="1" applyFill="1" applyBorder="1"/>
    <xf numFmtId="0" fontId="53" fillId="25" borderId="0" xfId="53" applyFont="1" applyFill="1" applyBorder="1"/>
    <xf numFmtId="164" fontId="7" fillId="25" borderId="56" xfId="55" applyNumberFormat="1" applyFont="1" applyFill="1" applyBorder="1"/>
    <xf numFmtId="164" fontId="7" fillId="25" borderId="62" xfId="55" applyNumberFormat="1" applyFont="1" applyFill="1" applyBorder="1"/>
    <xf numFmtId="0" fontId="53" fillId="25" borderId="23" xfId="53" applyFont="1" applyFill="1" applyBorder="1"/>
    <xf numFmtId="170" fontId="53" fillId="25" borderId="0" xfId="51" applyNumberFormat="1" applyFont="1" applyFill="1" applyBorder="1"/>
    <xf numFmtId="172" fontId="53" fillId="25" borderId="0" xfId="53" applyNumberFormat="1" applyFont="1" applyFill="1" applyBorder="1"/>
    <xf numFmtId="0" fontId="53" fillId="25" borderId="30" xfId="53" applyFont="1" applyFill="1" applyBorder="1"/>
    <xf numFmtId="0" fontId="53" fillId="25" borderId="11" xfId="53" applyFont="1" applyFill="1" applyBorder="1"/>
    <xf numFmtId="172" fontId="53" fillId="25" borderId="11" xfId="53" applyNumberFormat="1" applyFont="1" applyFill="1" applyBorder="1"/>
    <xf numFmtId="9" fontId="7" fillId="25" borderId="11" xfId="55" applyFont="1" applyFill="1" applyBorder="1"/>
    <xf numFmtId="0" fontId="53" fillId="25" borderId="46" xfId="53" applyFont="1" applyFill="1" applyBorder="1"/>
    <xf numFmtId="164" fontId="7" fillId="0" borderId="0" xfId="45" applyNumberFormat="1" applyFont="1" applyBorder="1" applyAlignment="1">
      <alignment horizontal="center"/>
    </xf>
    <xf numFmtId="164" fontId="7" fillId="0" borderId="23" xfId="45" applyNumberFormat="1" applyFont="1" applyBorder="1" applyAlignment="1">
      <alignment horizontal="center"/>
    </xf>
    <xf numFmtId="164" fontId="7" fillId="0" borderId="11" xfId="45" applyNumberFormat="1" applyFont="1" applyBorder="1" applyAlignment="1">
      <alignment horizontal="center"/>
    </xf>
    <xf numFmtId="164" fontId="7" fillId="0" borderId="46" xfId="45" applyNumberFormat="1" applyFont="1" applyBorder="1" applyAlignment="1">
      <alignment horizontal="center"/>
    </xf>
    <xf numFmtId="166" fontId="7" fillId="0" borderId="0" xfId="51" applyNumberFormat="1" applyFont="1" applyBorder="1"/>
    <xf numFmtId="166" fontId="54" fillId="0" borderId="0" xfId="51" applyNumberFormat="1" applyFont="1" applyBorder="1"/>
    <xf numFmtId="166" fontId="7" fillId="0" borderId="0" xfId="51" quotePrefix="1" applyNumberFormat="1" applyFont="1" applyBorder="1"/>
    <xf numFmtId="166" fontId="7" fillId="0" borderId="11" xfId="51" applyNumberFormat="1" applyFont="1" applyBorder="1"/>
    <xf numFmtId="166" fontId="54" fillId="0" borderId="11" xfId="51" applyNumberFormat="1" applyFont="1" applyBorder="1"/>
    <xf numFmtId="0" fontId="54" fillId="0" borderId="0" xfId="53" applyFont="1" applyBorder="1"/>
    <xf numFmtId="0" fontId="58" fillId="0" borderId="0" xfId="34" applyFont="1" applyAlignment="1" applyProtection="1"/>
    <xf numFmtId="0" fontId="10" fillId="0" borderId="30" xfId="0" applyFont="1" applyFill="1" applyBorder="1"/>
    <xf numFmtId="0" fontId="0" fillId="0" borderId="11" xfId="0" applyFill="1" applyBorder="1"/>
    <xf numFmtId="168" fontId="10" fillId="0" borderId="62" xfId="45" applyNumberFormat="1" applyFont="1" applyFill="1" applyBorder="1" applyAlignment="1">
      <alignment horizontal="right" vertical="top"/>
    </xf>
    <xf numFmtId="170" fontId="10" fillId="0" borderId="62" xfId="51" applyNumberFormat="1" applyFont="1" applyBorder="1"/>
    <xf numFmtId="0" fontId="11" fillId="0" borderId="30" xfId="0" applyFont="1" applyFill="1" applyBorder="1" applyAlignment="1">
      <alignment horizontal="left" vertical="center"/>
    </xf>
    <xf numFmtId="0" fontId="11" fillId="0" borderId="11" xfId="0" applyFont="1" applyFill="1" applyBorder="1" applyAlignment="1">
      <alignment vertical="center"/>
    </xf>
    <xf numFmtId="168" fontId="11" fillId="0" borderId="62" xfId="45" applyNumberFormat="1" applyFont="1" applyFill="1" applyBorder="1" applyAlignment="1">
      <alignment horizontal="right" vertical="top"/>
    </xf>
    <xf numFmtId="170" fontId="7" fillId="0" borderId="62" xfId="51" applyNumberFormat="1" applyFont="1" applyFill="1" applyBorder="1"/>
    <xf numFmtId="0" fontId="43" fillId="0" borderId="0" xfId="49" applyFont="1"/>
    <xf numFmtId="168" fontId="59" fillId="0" borderId="0" xfId="0" applyNumberFormat="1" applyFont="1"/>
    <xf numFmtId="0" fontId="9" fillId="0" borderId="0" xfId="0" applyFont="1" applyBorder="1" applyAlignment="1" applyProtection="1">
      <alignment vertical="center"/>
      <protection locked="0"/>
    </xf>
    <xf numFmtId="0" fontId="10" fillId="0" borderId="0" xfId="0" quotePrefix="1" applyFont="1" applyFill="1" applyBorder="1" applyAlignment="1">
      <alignment horizontal="centerContinuous" vertical="center"/>
    </xf>
    <xf numFmtId="0" fontId="5" fillId="0" borderId="0" xfId="0" applyFont="1" applyAlignment="1" applyProtection="1">
      <alignment vertical="center"/>
      <protection locked="0"/>
    </xf>
    <xf numFmtId="10" fontId="11" fillId="0" borderId="0" xfId="45" applyNumberFormat="1" applyFont="1"/>
    <xf numFmtId="164" fontId="60" fillId="0" borderId="0" xfId="45" applyNumberFormat="1" applyFont="1"/>
    <xf numFmtId="9" fontId="0" fillId="0" borderId="0" xfId="45" applyFont="1"/>
    <xf numFmtId="164" fontId="11" fillId="0" borderId="0" xfId="0" applyNumberFormat="1" applyFont="1"/>
    <xf numFmtId="0" fontId="2" fillId="0" borderId="0" xfId="53" applyFont="1"/>
    <xf numFmtId="0" fontId="5" fillId="0" borderId="11" xfId="0" applyFont="1" applyFill="1" applyBorder="1" applyAlignment="1">
      <alignment horizontal="centerContinuous"/>
    </xf>
    <xf numFmtId="165" fontId="5" fillId="0" borderId="0" xfId="0" applyNumberFormat="1" applyFont="1" applyFill="1" applyAlignment="1" applyProtection="1">
      <alignment horizontal="right" vertical="center"/>
      <protection locked="0"/>
    </xf>
    <xf numFmtId="165" fontId="5" fillId="0" borderId="0" xfId="0" applyNumberFormat="1" applyFont="1" applyFill="1" applyBorder="1" applyAlignment="1" applyProtection="1">
      <alignment horizontal="left"/>
      <protection locked="0"/>
    </xf>
    <xf numFmtId="165" fontId="5" fillId="0" borderId="0" xfId="0" applyNumberFormat="1" applyFont="1" applyFill="1" applyBorder="1" applyAlignment="1" applyProtection="1">
      <alignment horizontal="right" vertical="center"/>
      <protection locked="0"/>
    </xf>
    <xf numFmtId="0" fontId="7" fillId="0" borderId="13" xfId="0" applyFont="1" applyFill="1" applyBorder="1"/>
    <xf numFmtId="0" fontId="7" fillId="0" borderId="0" xfId="0" applyFont="1" applyAlignment="1" applyProtection="1">
      <alignment vertical="center"/>
      <protection locked="0"/>
    </xf>
    <xf numFmtId="0" fontId="7" fillId="0" borderId="12" xfId="0" applyFont="1" applyFill="1" applyBorder="1"/>
    <xf numFmtId="165" fontId="7" fillId="0" borderId="18" xfId="0" applyNumberFormat="1" applyFont="1" applyFill="1" applyBorder="1" applyAlignment="1">
      <alignment horizontal="right" vertical="top"/>
    </xf>
    <xf numFmtId="165" fontId="7" fillId="0" borderId="0" xfId="0" applyNumberFormat="1" applyFont="1" applyFill="1" applyBorder="1" applyAlignment="1">
      <alignment horizontal="right" vertical="top"/>
    </xf>
    <xf numFmtId="165" fontId="7" fillId="0" borderId="23" xfId="0" applyNumberFormat="1" applyFont="1" applyFill="1" applyBorder="1" applyAlignment="1">
      <alignment horizontal="right" vertical="top"/>
    </xf>
    <xf numFmtId="0" fontId="7" fillId="0" borderId="0" xfId="0" applyFont="1" applyFill="1" applyAlignment="1" applyProtection="1">
      <alignment vertical="center"/>
      <protection locked="0"/>
    </xf>
    <xf numFmtId="0" fontId="7" fillId="0" borderId="0" xfId="0" applyFont="1"/>
    <xf numFmtId="165" fontId="7" fillId="0" borderId="0" xfId="0" applyNumberFormat="1" applyFont="1" applyAlignment="1" applyProtection="1">
      <alignment horizontal="right" vertical="center"/>
      <protection locked="0"/>
    </xf>
    <xf numFmtId="165" fontId="7" fillId="0" borderId="0" xfId="0" applyNumberFormat="1" applyFont="1" applyFill="1" applyBorder="1" applyAlignment="1" applyProtection="1">
      <alignment horizontal="right" vertical="center"/>
      <protection locked="0"/>
    </xf>
    <xf numFmtId="0" fontId="2" fillId="0" borderId="0" xfId="72"/>
    <xf numFmtId="0" fontId="2" fillId="0" borderId="0" xfId="72" applyBorder="1"/>
    <xf numFmtId="0" fontId="61" fillId="0" borderId="0" xfId="72" applyFont="1"/>
    <xf numFmtId="0" fontId="10" fillId="0" borderId="13" xfId="0" applyFont="1" applyFill="1" applyBorder="1" applyAlignment="1">
      <alignment horizontal="left" vertical="top" wrapText="1"/>
    </xf>
    <xf numFmtId="171" fontId="11" fillId="0" borderId="0" xfId="0" applyNumberFormat="1" applyFont="1" applyFill="1" applyBorder="1" applyAlignment="1">
      <alignment horizontal="center" vertical="top"/>
    </xf>
    <xf numFmtId="171" fontId="11" fillId="0" borderId="11" xfId="0" applyNumberFormat="1" applyFont="1" applyFill="1" applyBorder="1" applyAlignment="1">
      <alignment horizontal="center" vertical="top"/>
    </xf>
    <xf numFmtId="164" fontId="11" fillId="0" borderId="0" xfId="45" applyNumberFormat="1" applyFont="1"/>
    <xf numFmtId="164" fontId="7" fillId="0" borderId="23" xfId="45" applyNumberFormat="1" applyFont="1" applyBorder="1"/>
    <xf numFmtId="0" fontId="10" fillId="0" borderId="0" xfId="0" quotePrefix="1" applyFont="1" applyFill="1" applyBorder="1" applyAlignment="1">
      <alignment vertical="center"/>
    </xf>
    <xf numFmtId="164" fontId="11" fillId="0" borderId="0" xfId="45" applyNumberFormat="1" applyFont="1" applyFill="1" applyBorder="1" applyAlignment="1" applyProtection="1">
      <alignment horizontal="right" vertical="center"/>
      <protection locked="0"/>
    </xf>
    <xf numFmtId="165" fontId="11" fillId="0" borderId="0" xfId="0" applyNumberFormat="1" applyFont="1" applyAlignment="1" applyProtection="1">
      <alignment vertical="center"/>
      <protection locked="0"/>
    </xf>
    <xf numFmtId="164" fontId="11" fillId="0" borderId="0" xfId="45" applyNumberFormat="1" applyFont="1" applyAlignment="1" applyProtection="1">
      <alignment vertical="center"/>
      <protection locked="0"/>
    </xf>
    <xf numFmtId="170" fontId="7" fillId="0" borderId="0" xfId="51" applyNumberFormat="1" applyFont="1"/>
    <xf numFmtId="170" fontId="7" fillId="0" borderId="0" xfId="51" applyNumberFormat="1" applyFont="1" applyFill="1"/>
    <xf numFmtId="164" fontId="11" fillId="0" borderId="0" xfId="45" applyNumberFormat="1" applyFont="1" applyFill="1"/>
    <xf numFmtId="0" fontId="7" fillId="0" borderId="0" xfId="0" quotePrefix="1" applyFont="1" applyFill="1" applyBorder="1" applyAlignment="1">
      <alignment vertical="center"/>
    </xf>
    <xf numFmtId="0" fontId="7" fillId="0" borderId="0" xfId="0" applyFont="1" applyFill="1" applyBorder="1" applyAlignment="1"/>
    <xf numFmtId="0" fontId="54" fillId="0" borderId="0" xfId="72" applyFont="1" applyBorder="1"/>
    <xf numFmtId="0" fontId="54" fillId="0" borderId="0" xfId="72" applyFont="1" applyFill="1" applyBorder="1"/>
    <xf numFmtId="170" fontId="54" fillId="0" borderId="0" xfId="51" applyNumberFormat="1" applyFont="1" applyFill="1" applyBorder="1"/>
    <xf numFmtId="170" fontId="42" fillId="25" borderId="61" xfId="51" applyNumberFormat="1" applyFont="1" applyFill="1" applyBorder="1"/>
    <xf numFmtId="0" fontId="62" fillId="0" borderId="11" xfId="63" applyFont="1" applyFill="1" applyBorder="1" applyAlignment="1"/>
    <xf numFmtId="0" fontId="6" fillId="0" borderId="23" xfId="38" applyFont="1" applyFill="1" applyBorder="1" applyAlignment="1">
      <alignment horizontal="left" vertical="center"/>
    </xf>
    <xf numFmtId="0" fontId="5" fillId="0" borderId="23" xfId="38" applyFill="1" applyBorder="1"/>
    <xf numFmtId="0" fontId="7" fillId="0" borderId="23" xfId="38" applyFont="1" applyFill="1" applyBorder="1"/>
    <xf numFmtId="0" fontId="62" fillId="0" borderId="11" xfId="0" applyFont="1" applyFill="1" applyBorder="1" applyAlignment="1">
      <alignment horizontal="left"/>
    </xf>
    <xf numFmtId="0" fontId="11" fillId="0" borderId="23" xfId="0" applyFont="1" applyFill="1" applyBorder="1"/>
    <xf numFmtId="0" fontId="0" fillId="0" borderId="23" xfId="0" applyFill="1" applyBorder="1"/>
    <xf numFmtId="0" fontId="62" fillId="0" borderId="0" xfId="0" applyFont="1" applyFill="1" applyBorder="1" applyAlignment="1">
      <alignment horizontal="left"/>
    </xf>
    <xf numFmtId="166" fontId="7" fillId="0" borderId="12" xfId="51" applyNumberFormat="1" applyFont="1" applyBorder="1"/>
    <xf numFmtId="166" fontId="7" fillId="0" borderId="30" xfId="51" applyNumberFormat="1" applyFont="1" applyBorder="1"/>
    <xf numFmtId="0" fontId="55" fillId="0" borderId="23" xfId="53" applyFont="1" applyBorder="1"/>
    <xf numFmtId="0" fontId="54" fillId="0" borderId="23" xfId="53" applyFont="1" applyBorder="1"/>
    <xf numFmtId="0" fontId="62" fillId="0" borderId="11" xfId="49" applyFont="1" applyFill="1" applyBorder="1" applyAlignment="1">
      <alignment horizontal="left"/>
    </xf>
    <xf numFmtId="0" fontId="7" fillId="0" borderId="23" xfId="49" applyFont="1" applyFill="1" applyBorder="1"/>
    <xf numFmtId="0" fontId="62" fillId="0" borderId="11" xfId="0" applyFont="1" applyFill="1" applyBorder="1" applyAlignment="1"/>
    <xf numFmtId="0" fontId="11" fillId="0" borderId="12" xfId="0" quotePrefix="1" applyFont="1" applyFill="1" applyBorder="1" applyAlignment="1">
      <alignment horizontal="left" vertical="center"/>
    </xf>
    <xf numFmtId="0" fontId="11" fillId="0" borderId="30" xfId="0" quotePrefix="1" applyFont="1" applyFill="1" applyBorder="1" applyAlignment="1">
      <alignment horizontal="left" vertical="center"/>
    </xf>
    <xf numFmtId="0" fontId="10" fillId="0" borderId="23" xfId="0" applyFont="1" applyFill="1" applyBorder="1"/>
    <xf numFmtId="0" fontId="62" fillId="0" borderId="0" xfId="0" applyFont="1" applyFill="1" applyBorder="1" applyAlignment="1"/>
    <xf numFmtId="0" fontId="6" fillId="0" borderId="23" xfId="0" applyFont="1" applyFill="1" applyBorder="1" applyAlignment="1">
      <alignment horizontal="left" vertical="center"/>
    </xf>
    <xf numFmtId="170" fontId="10" fillId="0" borderId="46" xfId="57" applyNumberFormat="1" applyFont="1" applyFill="1" applyBorder="1" applyAlignment="1">
      <alignment vertical="top"/>
    </xf>
    <xf numFmtId="164" fontId="7" fillId="0" borderId="23" xfId="69" applyNumberFormat="1" applyFont="1" applyFill="1" applyBorder="1" applyAlignment="1">
      <alignment vertical="top"/>
    </xf>
    <xf numFmtId="164" fontId="7" fillId="0" borderId="46" xfId="69" applyNumberFormat="1" applyFont="1" applyFill="1" applyBorder="1" applyAlignment="1">
      <alignment vertical="top"/>
    </xf>
    <xf numFmtId="170" fontId="7" fillId="0" borderId="0" xfId="57" applyNumberFormat="1" applyFont="1" applyFill="1" applyBorder="1" applyAlignment="1">
      <alignment vertical="top"/>
    </xf>
    <xf numFmtId="170" fontId="7" fillId="0" borderId="11" xfId="57" applyNumberFormat="1" applyFont="1" applyFill="1" applyBorder="1" applyAlignment="1">
      <alignment vertical="top"/>
    </xf>
    <xf numFmtId="2" fontId="12" fillId="0" borderId="0" xfId="38" applyNumberFormat="1" applyFont="1" applyFill="1" applyBorder="1" applyAlignment="1">
      <alignment horizontal="center" vertical="top" wrapText="1"/>
    </xf>
    <xf numFmtId="164" fontId="7" fillId="0" borderId="0" xfId="69" applyNumberFormat="1" applyFont="1" applyFill="1" applyBorder="1" applyAlignment="1">
      <alignment vertical="top"/>
    </xf>
    <xf numFmtId="164" fontId="7" fillId="0" borderId="11" xfId="69" applyNumberFormat="1" applyFont="1" applyFill="1" applyBorder="1" applyAlignment="1">
      <alignment vertical="top"/>
    </xf>
    <xf numFmtId="0" fontId="10" fillId="0" borderId="61" xfId="38" applyFont="1" applyFill="1" applyBorder="1" applyAlignment="1">
      <alignment horizontal="left" vertical="center"/>
    </xf>
    <xf numFmtId="0" fontId="10" fillId="0" borderId="62" xfId="38" applyFont="1" applyFill="1" applyBorder="1" applyAlignment="1">
      <alignment horizontal="left" wrapText="1"/>
    </xf>
    <xf numFmtId="17" fontId="7" fillId="0" borderId="56" xfId="38" quotePrefix="1" applyNumberFormat="1" applyFont="1" applyFill="1" applyBorder="1" applyAlignment="1">
      <alignment horizontal="left" vertical="center"/>
    </xf>
    <xf numFmtId="0" fontId="7" fillId="0" borderId="56" xfId="38" quotePrefix="1" applyFont="1" applyFill="1" applyBorder="1" applyAlignment="1">
      <alignment horizontal="left"/>
    </xf>
    <xf numFmtId="0" fontId="7" fillId="0" borderId="62" xfId="38" quotePrefix="1" applyFont="1" applyFill="1" applyBorder="1" applyAlignment="1">
      <alignment horizontal="left"/>
    </xf>
    <xf numFmtId="0" fontId="10" fillId="0" borderId="56" xfId="38" applyFont="1" applyFill="1" applyBorder="1" applyAlignment="1">
      <alignment horizontal="left" vertical="center"/>
    </xf>
    <xf numFmtId="167" fontId="11" fillId="0" borderId="46" xfId="45" applyNumberFormat="1" applyFont="1" applyFill="1" applyBorder="1" applyAlignment="1">
      <alignment vertical="center"/>
    </xf>
    <xf numFmtId="1" fontId="12" fillId="0" borderId="48" xfId="0" applyNumberFormat="1" applyFont="1" applyFill="1" applyBorder="1" applyAlignment="1">
      <alignment horizontal="centerContinuous" vertical="top"/>
    </xf>
    <xf numFmtId="2" fontId="12" fillId="0" borderId="49" xfId="0" applyNumberFormat="1" applyFont="1" applyFill="1" applyBorder="1" applyAlignment="1">
      <alignment horizontal="center" vertical="top" wrapText="1"/>
    </xf>
    <xf numFmtId="9" fontId="11" fillId="0" borderId="23" xfId="45" applyNumberFormat="1" applyFont="1" applyFill="1" applyBorder="1" applyAlignment="1">
      <alignment horizontal="center" vertical="center"/>
    </xf>
    <xf numFmtId="9" fontId="11" fillId="0" borderId="46" xfId="45" applyNumberFormat="1" applyFont="1" applyFill="1" applyBorder="1" applyAlignment="1">
      <alignment horizontal="center" vertical="center"/>
    </xf>
    <xf numFmtId="2" fontId="12" fillId="0" borderId="49" xfId="0" applyNumberFormat="1" applyFont="1" applyFill="1" applyBorder="1" applyAlignment="1">
      <alignment horizontal="centerContinuous" vertical="top"/>
    </xf>
    <xf numFmtId="166" fontId="11" fillId="0" borderId="23" xfId="0" applyNumberFormat="1" applyFont="1" applyFill="1" applyBorder="1" applyAlignment="1">
      <alignment horizontal="right" vertical="center"/>
    </xf>
    <xf numFmtId="166" fontId="11" fillId="0" borderId="46" xfId="0" applyNumberFormat="1" applyFont="1" applyFill="1" applyBorder="1" applyAlignment="1">
      <alignment horizontal="left" vertical="center"/>
    </xf>
    <xf numFmtId="166" fontId="11" fillId="0" borderId="23" xfId="0" applyNumberFormat="1" applyFont="1" applyFill="1" applyBorder="1" applyAlignment="1">
      <alignment horizontal="center" vertical="center"/>
    </xf>
    <xf numFmtId="166" fontId="11" fillId="0" borderId="46" xfId="0" applyNumberFormat="1" applyFont="1" applyFill="1" applyBorder="1" applyAlignment="1">
      <alignment horizontal="center" vertical="center"/>
    </xf>
    <xf numFmtId="166" fontId="11" fillId="0" borderId="46" xfId="0" quotePrefix="1" applyNumberFormat="1" applyFont="1" applyFill="1" applyBorder="1" applyAlignment="1">
      <alignment vertical="center"/>
    </xf>
    <xf numFmtId="2" fontId="12" fillId="0" borderId="50" xfId="0" applyNumberFormat="1" applyFont="1" applyFill="1" applyBorder="1" applyAlignment="1">
      <alignment wrapText="1"/>
    </xf>
    <xf numFmtId="0" fontId="10" fillId="0" borderId="56" xfId="0" applyFont="1" applyFill="1" applyBorder="1" applyAlignment="1">
      <alignment vertical="center"/>
    </xf>
    <xf numFmtId="0" fontId="11" fillId="0" borderId="56" xfId="0" applyFont="1" applyFill="1" applyBorder="1" applyAlignment="1">
      <alignment vertical="center"/>
    </xf>
    <xf numFmtId="0" fontId="11" fillId="0" borderId="62" xfId="0" applyFont="1" applyFill="1" applyBorder="1" applyAlignment="1">
      <alignment vertical="center"/>
    </xf>
    <xf numFmtId="0" fontId="11" fillId="0" borderId="56" xfId="0" applyFont="1" applyFill="1" applyBorder="1" applyAlignment="1">
      <alignment horizontal="left" vertical="center" indent="1"/>
    </xf>
    <xf numFmtId="0" fontId="11" fillId="0" borderId="62" xfId="0" applyFont="1" applyFill="1" applyBorder="1" applyAlignment="1">
      <alignment horizontal="left" vertical="center" indent="1"/>
    </xf>
    <xf numFmtId="166" fontId="7" fillId="0" borderId="23" xfId="51" quotePrefix="1" applyNumberFormat="1" applyFont="1" applyBorder="1"/>
    <xf numFmtId="166" fontId="7" fillId="0" borderId="46" xfId="51" quotePrefix="1" applyNumberFormat="1" applyFont="1" applyBorder="1"/>
    <xf numFmtId="0" fontId="55" fillId="0" borderId="46" xfId="53" applyFont="1" applyBorder="1" applyAlignment="1">
      <alignment horizontal="center" vertical="top" wrapText="1"/>
    </xf>
    <xf numFmtId="0" fontId="55" fillId="0" borderId="30" xfId="53" applyFont="1" applyBorder="1" applyAlignment="1">
      <alignment horizontal="center" wrapText="1"/>
    </xf>
    <xf numFmtId="17" fontId="55" fillId="0" borderId="11" xfId="53" quotePrefix="1" applyNumberFormat="1" applyFont="1" applyBorder="1" applyAlignment="1">
      <alignment horizontal="center" wrapText="1"/>
    </xf>
    <xf numFmtId="17" fontId="55" fillId="0" borderId="46" xfId="53" quotePrefix="1" applyNumberFormat="1" applyFont="1" applyBorder="1" applyAlignment="1">
      <alignment horizontal="center" wrapText="1"/>
    </xf>
    <xf numFmtId="0" fontId="55" fillId="0" borderId="11" xfId="53" applyFont="1" applyBorder="1" applyAlignment="1">
      <alignment horizontal="center" wrapText="1"/>
    </xf>
    <xf numFmtId="2" fontId="12" fillId="0" borderId="48" xfId="49" applyNumberFormat="1" applyFont="1" applyFill="1" applyBorder="1" applyAlignment="1">
      <alignment horizontal="centerContinuous" vertical="top" wrapText="1"/>
    </xf>
    <xf numFmtId="2" fontId="12" fillId="0" borderId="49" xfId="49" applyNumberFormat="1" applyFont="1" applyFill="1" applyBorder="1" applyAlignment="1">
      <alignment horizontal="centerContinuous" vertical="top" wrapText="1"/>
    </xf>
    <xf numFmtId="169" fontId="7" fillId="0" borderId="0" xfId="50" applyNumberFormat="1" applyFont="1" applyFill="1" applyBorder="1" applyAlignment="1">
      <alignment horizontal="center" vertical="top"/>
    </xf>
    <xf numFmtId="0" fontId="7" fillId="0" borderId="0" xfId="49" quotePrefix="1" applyFont="1" applyFill="1" applyBorder="1" applyAlignment="1">
      <alignment horizontal="left" vertical="center"/>
    </xf>
    <xf numFmtId="17" fontId="54" fillId="0" borderId="11" xfId="53" quotePrefix="1" applyNumberFormat="1" applyFont="1" applyBorder="1" applyAlignment="1">
      <alignment horizontal="left" wrapText="1"/>
    </xf>
    <xf numFmtId="2" fontId="12" fillId="0" borderId="48" xfId="49" applyNumberFormat="1" applyFont="1" applyFill="1" applyBorder="1" applyAlignment="1">
      <alignment horizontal="centerContinuous" vertical="top"/>
    </xf>
    <xf numFmtId="169" fontId="7" fillId="0" borderId="0" xfId="51" applyNumberFormat="1" applyFont="1" applyFill="1" applyBorder="1" applyAlignment="1">
      <alignment vertical="top"/>
    </xf>
    <xf numFmtId="169" fontId="7" fillId="0" borderId="11" xfId="51" applyNumberFormat="1" applyFont="1" applyFill="1" applyBorder="1" applyAlignment="1">
      <alignment vertical="top"/>
    </xf>
    <xf numFmtId="0" fontId="10" fillId="0" borderId="50" xfId="49" applyFont="1" applyFill="1" applyBorder="1" applyAlignment="1">
      <alignment horizontal="left" wrapText="1"/>
    </xf>
    <xf numFmtId="0" fontId="7" fillId="0" borderId="56" xfId="49" quotePrefix="1" applyFont="1" applyFill="1" applyBorder="1" applyAlignment="1">
      <alignment horizontal="left" vertical="center"/>
    </xf>
    <xf numFmtId="15" fontId="7" fillId="0" borderId="56" xfId="49" quotePrefix="1" applyNumberFormat="1" applyFont="1" applyFill="1" applyBorder="1" applyAlignment="1">
      <alignment horizontal="left" vertical="center"/>
    </xf>
    <xf numFmtId="15" fontId="7" fillId="0" borderId="62" xfId="49" quotePrefix="1" applyNumberFormat="1" applyFont="1" applyFill="1" applyBorder="1" applyAlignment="1">
      <alignment horizontal="left" vertical="center"/>
    </xf>
    <xf numFmtId="164" fontId="11" fillId="0" borderId="23" xfId="45" applyNumberFormat="1" applyFont="1" applyFill="1" applyBorder="1" applyAlignment="1">
      <alignment horizontal="center" vertical="top"/>
    </xf>
    <xf numFmtId="164" fontId="11" fillId="0" borderId="46" xfId="45" applyNumberFormat="1" applyFont="1" applyFill="1" applyBorder="1" applyAlignment="1">
      <alignment horizontal="center" vertical="top"/>
    </xf>
    <xf numFmtId="171" fontId="11" fillId="0" borderId="23" xfId="0" applyNumberFormat="1" applyFont="1" applyFill="1" applyBorder="1" applyAlignment="1">
      <alignment horizontal="center" vertical="top"/>
    </xf>
    <xf numFmtId="171" fontId="11" fillId="0" borderId="46" xfId="0" applyNumberFormat="1" applyFont="1" applyFill="1" applyBorder="1" applyAlignment="1">
      <alignment horizontal="center" vertical="top"/>
    </xf>
    <xf numFmtId="0" fontId="11" fillId="0" borderId="23" xfId="0" applyFont="1" applyFill="1" applyBorder="1" applyAlignment="1">
      <alignment vertical="center"/>
    </xf>
    <xf numFmtId="0" fontId="11" fillId="0" borderId="23" xfId="0" quotePrefix="1" applyFont="1" applyFill="1" applyBorder="1" applyAlignment="1">
      <alignment vertical="center"/>
    </xf>
    <xf numFmtId="0" fontId="11" fillId="0" borderId="46" xfId="0" quotePrefix="1" applyFont="1" applyFill="1" applyBorder="1" applyAlignment="1">
      <alignment vertical="center"/>
    </xf>
    <xf numFmtId="0" fontId="10" fillId="0" borderId="47" xfId="0" applyFont="1" applyFill="1" applyBorder="1" applyAlignment="1">
      <alignment horizontal="left" wrapText="1"/>
    </xf>
    <xf numFmtId="0" fontId="10" fillId="0" borderId="49" xfId="0" applyFont="1" applyFill="1" applyBorder="1" applyAlignment="1">
      <alignment horizontal="left" wrapText="1"/>
    </xf>
    <xf numFmtId="2" fontId="12" fillId="0" borderId="48" xfId="0" applyNumberFormat="1" applyFont="1" applyFill="1" applyBorder="1" applyAlignment="1">
      <alignment horizontal="center" vertical="top" wrapText="1"/>
    </xf>
    <xf numFmtId="1" fontId="12" fillId="0" borderId="48" xfId="0" applyNumberFormat="1" applyFont="1" applyFill="1" applyBorder="1" applyAlignment="1">
      <alignment horizontal="center" vertical="top" wrapText="1"/>
    </xf>
    <xf numFmtId="1" fontId="12" fillId="0" borderId="49" xfId="0" applyNumberFormat="1" applyFont="1" applyFill="1" applyBorder="1" applyAlignment="1">
      <alignment horizontal="center" vertical="top" wrapText="1"/>
    </xf>
    <xf numFmtId="0" fontId="10" fillId="0" borderId="11" xfId="0" quotePrefix="1" applyFont="1" applyFill="1" applyBorder="1" applyAlignment="1">
      <alignment vertical="center"/>
    </xf>
    <xf numFmtId="168" fontId="10" fillId="0" borderId="36" xfId="45" applyNumberFormat="1" applyFont="1" applyFill="1" applyBorder="1" applyAlignment="1">
      <alignment horizontal="right" vertical="top"/>
    </xf>
    <xf numFmtId="168" fontId="10" fillId="0" borderId="11" xfId="45" applyNumberFormat="1" applyFont="1" applyFill="1" applyBorder="1" applyAlignment="1">
      <alignment horizontal="right" vertical="top"/>
    </xf>
    <xf numFmtId="168" fontId="10" fillId="0" borderId="46" xfId="45" applyNumberFormat="1" applyFont="1" applyFill="1" applyBorder="1" applyAlignment="1">
      <alignment horizontal="right" vertical="top"/>
    </xf>
    <xf numFmtId="0" fontId="11" fillId="0" borderId="30" xfId="0" applyFont="1" applyFill="1" applyBorder="1"/>
    <xf numFmtId="168" fontId="11" fillId="0" borderId="11" xfId="45" applyNumberFormat="1" applyFont="1" applyFill="1" applyBorder="1" applyAlignment="1">
      <alignment horizontal="right" vertical="top"/>
    </xf>
    <xf numFmtId="168" fontId="11" fillId="0" borderId="46" xfId="45" applyNumberFormat="1" applyFont="1" applyFill="1" applyBorder="1" applyAlignment="1">
      <alignment horizontal="right" vertical="top"/>
    </xf>
    <xf numFmtId="168" fontId="7" fillId="0" borderId="0" xfId="45" applyNumberFormat="1" applyFont="1" applyFill="1" applyBorder="1" applyAlignment="1">
      <alignment horizontal="right" vertical="top"/>
    </xf>
    <xf numFmtId="0" fontId="11" fillId="0" borderId="23" xfId="0" quotePrefix="1" applyFont="1" applyFill="1" applyBorder="1" applyAlignment="1">
      <alignment horizontal="left" vertical="center"/>
    </xf>
    <xf numFmtId="0" fontId="10" fillId="0" borderId="46" xfId="0" quotePrefix="1" applyFont="1" applyFill="1" applyBorder="1" applyAlignment="1">
      <alignment vertical="center"/>
    </xf>
    <xf numFmtId="0" fontId="10" fillId="0" borderId="47" xfId="0" applyFont="1" applyFill="1" applyBorder="1" applyAlignment="1">
      <alignment horizontal="left" vertical="center"/>
    </xf>
    <xf numFmtId="2" fontId="12" fillId="0" borderId="11" xfId="0" applyNumberFormat="1" applyFont="1" applyFill="1" applyBorder="1" applyAlignment="1">
      <alignment horizontal="center" vertical="top" wrapText="1"/>
    </xf>
    <xf numFmtId="2" fontId="12" fillId="0" borderId="46" xfId="0" applyNumberFormat="1" applyFont="1" applyFill="1" applyBorder="1" applyAlignment="1">
      <alignment horizontal="center" vertical="top" wrapText="1"/>
    </xf>
    <xf numFmtId="165" fontId="10" fillId="0" borderId="11" xfId="0" applyNumberFormat="1" applyFont="1" applyFill="1" applyBorder="1" applyAlignment="1">
      <alignment horizontal="right" vertical="top"/>
    </xf>
    <xf numFmtId="165" fontId="10" fillId="0" borderId="46" xfId="0" applyNumberFormat="1" applyFont="1" applyFill="1" applyBorder="1" applyAlignment="1">
      <alignment horizontal="right" vertical="top"/>
    </xf>
    <xf numFmtId="0" fontId="7" fillId="0" borderId="30" xfId="0" applyFont="1" applyFill="1" applyBorder="1"/>
    <xf numFmtId="165" fontId="7" fillId="0" borderId="11" xfId="0" applyNumberFormat="1" applyFont="1" applyFill="1" applyBorder="1" applyAlignment="1">
      <alignment horizontal="right" vertical="top"/>
    </xf>
    <xf numFmtId="165" fontId="7" fillId="0" borderId="46" xfId="0" applyNumberFormat="1" applyFont="1" applyFill="1" applyBorder="1" applyAlignment="1">
      <alignment horizontal="right" vertical="top"/>
    </xf>
    <xf numFmtId="2" fontId="12" fillId="0" borderId="15" xfId="0" applyNumberFormat="1" applyFont="1" applyFill="1" applyBorder="1" applyAlignment="1">
      <alignment horizontal="center" vertical="top" wrapText="1"/>
    </xf>
    <xf numFmtId="164" fontId="10" fillId="0" borderId="46" xfId="45" applyNumberFormat="1" applyFont="1" applyFill="1" applyBorder="1" applyAlignment="1">
      <alignment horizontal="right" vertical="top"/>
    </xf>
    <xf numFmtId="165" fontId="7" fillId="0" borderId="11" xfId="0" applyNumberFormat="1" applyFont="1" applyFill="1" applyBorder="1" applyAlignment="1" applyProtection="1">
      <alignment horizontal="right" vertical="center"/>
      <protection locked="0"/>
    </xf>
    <xf numFmtId="164" fontId="7" fillId="0" borderId="46" xfId="45" applyNumberFormat="1" applyFont="1" applyBorder="1"/>
    <xf numFmtId="0" fontId="10" fillId="0" borderId="49" xfId="0" applyFont="1" applyFill="1" applyBorder="1" applyAlignment="1">
      <alignment horizontal="left" vertical="center"/>
    </xf>
    <xf numFmtId="0" fontId="7" fillId="0" borderId="23" xfId="0" applyFont="1" applyFill="1" applyBorder="1" applyAlignment="1">
      <alignment vertical="center"/>
    </xf>
    <xf numFmtId="0" fontId="7" fillId="0" borderId="23" xfId="0" applyFont="1" applyFill="1" applyBorder="1"/>
    <xf numFmtId="0" fontId="7" fillId="0" borderId="46" xfId="0" applyFont="1" applyFill="1" applyBorder="1"/>
    <xf numFmtId="0" fontId="55" fillId="0" borderId="30" xfId="53" applyFont="1" applyBorder="1" applyAlignment="1">
      <alignment horizontal="center" wrapText="1"/>
    </xf>
    <xf numFmtId="0" fontId="8" fillId="0" borderId="0" xfId="34" applyAlignment="1" applyProtection="1"/>
    <xf numFmtId="0" fontId="66" fillId="0" borderId="23" xfId="34" applyFont="1" applyFill="1" applyBorder="1" applyAlignment="1" applyProtection="1">
      <alignment horizontal="left" indent="2"/>
    </xf>
    <xf numFmtId="0" fontId="7" fillId="0" borderId="11" xfId="0" applyFont="1" applyFill="1" applyBorder="1"/>
    <xf numFmtId="165" fontId="10" fillId="0" borderId="47" xfId="0" applyNumberFormat="1" applyFont="1" applyFill="1" applyBorder="1" applyAlignment="1">
      <alignment horizontal="right" vertical="top"/>
    </xf>
    <xf numFmtId="0" fontId="63" fillId="0" borderId="11" xfId="0" applyFont="1" applyFill="1" applyBorder="1" applyAlignment="1">
      <alignment horizontal="centerContinuous"/>
    </xf>
    <xf numFmtId="165" fontId="63" fillId="0" borderId="0" xfId="0" applyNumberFormat="1" applyFont="1" applyFill="1" applyAlignment="1" applyProtection="1">
      <alignment horizontal="right" vertical="center"/>
      <protection locked="0"/>
    </xf>
    <xf numFmtId="165" fontId="63" fillId="0" borderId="0" xfId="0" applyNumberFormat="1" applyFont="1" applyFill="1" applyBorder="1" applyAlignment="1" applyProtection="1">
      <alignment horizontal="right" vertical="center"/>
      <protection locked="0"/>
    </xf>
    <xf numFmtId="165" fontId="63" fillId="0" borderId="0" xfId="0" applyNumberFormat="1" applyFont="1" applyFill="1" applyBorder="1" applyAlignment="1" applyProtection="1">
      <alignment horizontal="left"/>
      <protection locked="0"/>
    </xf>
    <xf numFmtId="0" fontId="63" fillId="0" borderId="0" xfId="0" applyFont="1" applyAlignment="1" applyProtection="1">
      <alignment vertical="center"/>
      <protection locked="0"/>
    </xf>
    <xf numFmtId="0" fontId="63" fillId="0" borderId="11" xfId="0" applyNumberFormat="1" applyFont="1" applyFill="1" applyBorder="1" applyAlignment="1">
      <alignment vertical="center"/>
    </xf>
    <xf numFmtId="0" fontId="7" fillId="0" borderId="44" xfId="0" applyFont="1" applyFill="1" applyBorder="1" applyAlignment="1">
      <alignment horizontal="left" vertical="center"/>
    </xf>
    <xf numFmtId="0" fontId="7" fillId="0" borderId="0" xfId="0" applyFont="1" applyFill="1" applyBorder="1" applyAlignment="1">
      <alignment horizontal="left" vertical="center"/>
    </xf>
    <xf numFmtId="0" fontId="7" fillId="0" borderId="15" xfId="0" applyFont="1" applyFill="1" applyBorder="1" applyAlignment="1">
      <alignment horizontal="left" vertical="center"/>
    </xf>
    <xf numFmtId="0" fontId="7" fillId="0" borderId="46" xfId="0" quotePrefix="1" applyFont="1" applyFill="1" applyBorder="1" applyAlignment="1">
      <alignment horizontal="left" vertical="center"/>
    </xf>
    <xf numFmtId="165" fontId="68" fillId="27" borderId="33" xfId="0" applyNumberFormat="1" applyFont="1" applyFill="1" applyBorder="1" applyAlignment="1">
      <alignment horizontal="right" vertical="top"/>
    </xf>
    <xf numFmtId="43" fontId="62" fillId="0" borderId="11" xfId="51" applyFont="1" applyFill="1" applyBorder="1" applyAlignment="1">
      <alignment horizontal="left"/>
    </xf>
    <xf numFmtId="43" fontId="63" fillId="0" borderId="11" xfId="51" applyFont="1" applyFill="1" applyBorder="1" applyAlignment="1">
      <alignment horizontal="centerContinuous"/>
    </xf>
    <xf numFmtId="0" fontId="7" fillId="25" borderId="31" xfId="53" applyFont="1" applyFill="1" applyBorder="1"/>
    <xf numFmtId="0" fontId="7" fillId="25" borderId="32" xfId="53" quotePrefix="1" applyFont="1" applyFill="1" applyBorder="1"/>
    <xf numFmtId="175" fontId="7" fillId="25" borderId="45" xfId="51" applyNumberFormat="1" applyFont="1" applyFill="1" applyBorder="1"/>
    <xf numFmtId="0" fontId="7" fillId="0" borderId="0" xfId="53" applyFont="1"/>
    <xf numFmtId="164" fontId="7" fillId="25" borderId="50" xfId="53" applyNumberFormat="1" applyFont="1" applyFill="1" applyBorder="1"/>
    <xf numFmtId="0" fontId="7" fillId="25" borderId="30" xfId="53" applyFont="1" applyFill="1" applyBorder="1"/>
    <xf numFmtId="0" fontId="7" fillId="25" borderId="11" xfId="53" quotePrefix="1" applyFont="1" applyFill="1" applyBorder="1"/>
    <xf numFmtId="175" fontId="7" fillId="25" borderId="46" xfId="51" applyNumberFormat="1" applyFont="1" applyFill="1" applyBorder="1"/>
    <xf numFmtId="0" fontId="7" fillId="25" borderId="11" xfId="53" applyFont="1" applyFill="1" applyBorder="1"/>
    <xf numFmtId="173" fontId="7" fillId="25" borderId="46" xfId="53" applyNumberFormat="1" applyFont="1" applyFill="1" applyBorder="1"/>
    <xf numFmtId="164" fontId="7" fillId="0" borderId="0" xfId="45" applyNumberFormat="1" applyFont="1" applyFill="1"/>
    <xf numFmtId="0" fontId="5" fillId="0" borderId="0" xfId="49" applyFont="1"/>
    <xf numFmtId="164" fontId="7" fillId="25" borderId="31" xfId="45" applyNumberFormat="1" applyFont="1" applyFill="1" applyBorder="1"/>
    <xf numFmtId="164" fontId="7" fillId="25" borderId="45" xfId="45" applyNumberFormat="1" applyFont="1" applyFill="1" applyBorder="1"/>
    <xf numFmtId="164" fontId="7" fillId="25" borderId="12" xfId="45" applyNumberFormat="1" applyFont="1" applyFill="1" applyBorder="1"/>
    <xf numFmtId="164" fontId="7" fillId="25" borderId="23" xfId="45" applyNumberFormat="1" applyFont="1" applyFill="1" applyBorder="1"/>
    <xf numFmtId="164" fontId="7" fillId="25" borderId="30" xfId="45" applyNumberFormat="1" applyFont="1" applyFill="1" applyBorder="1"/>
    <xf numFmtId="164" fontId="7" fillId="25" borderId="46" xfId="45" applyNumberFormat="1" applyFont="1" applyFill="1" applyBorder="1"/>
    <xf numFmtId="170" fontId="7" fillId="25" borderId="0" xfId="51" applyNumberFormat="1" applyFont="1" applyFill="1"/>
    <xf numFmtId="170" fontId="7" fillId="25" borderId="31" xfId="51" applyNumberFormat="1" applyFont="1" applyFill="1" applyBorder="1"/>
    <xf numFmtId="170" fontId="7" fillId="25" borderId="45" xfId="51" applyNumberFormat="1" applyFont="1" applyFill="1" applyBorder="1"/>
    <xf numFmtId="170" fontId="7" fillId="25" borderId="12" xfId="51" applyNumberFormat="1" applyFont="1" applyFill="1" applyBorder="1"/>
    <xf numFmtId="170" fontId="7" fillId="25" borderId="23" xfId="51" applyNumberFormat="1" applyFont="1" applyFill="1" applyBorder="1"/>
    <xf numFmtId="170" fontId="7" fillId="25" borderId="30" xfId="51" applyNumberFormat="1" applyFont="1" applyFill="1" applyBorder="1"/>
    <xf numFmtId="170" fontId="7" fillId="25" borderId="46" xfId="51" applyNumberFormat="1" applyFont="1" applyFill="1" applyBorder="1"/>
    <xf numFmtId="0" fontId="7" fillId="25" borderId="47" xfId="0" applyFont="1" applyFill="1" applyBorder="1"/>
    <xf numFmtId="0" fontId="5" fillId="25" borderId="48" xfId="0" applyFont="1" applyFill="1" applyBorder="1"/>
    <xf numFmtId="0" fontId="5" fillId="25" borderId="49" xfId="0" applyFont="1" applyFill="1" applyBorder="1"/>
    <xf numFmtId="0" fontId="7" fillId="25" borderId="12" xfId="0" applyFont="1" applyFill="1" applyBorder="1"/>
    <xf numFmtId="0" fontId="7" fillId="25" borderId="0" xfId="0" applyFont="1" applyFill="1" applyBorder="1"/>
    <xf numFmtId="0" fontId="7" fillId="25" borderId="23" xfId="0" applyFont="1" applyFill="1" applyBorder="1"/>
    <xf numFmtId="0" fontId="7" fillId="25" borderId="30" xfId="0" applyFont="1" applyFill="1" applyBorder="1"/>
    <xf numFmtId="0" fontId="7" fillId="25" borderId="11" xfId="0" applyFont="1" applyFill="1" applyBorder="1"/>
    <xf numFmtId="0" fontId="7" fillId="25" borderId="46" xfId="0" applyFont="1" applyFill="1" applyBorder="1"/>
    <xf numFmtId="0" fontId="55" fillId="25" borderId="50" xfId="53" applyFont="1" applyFill="1" applyBorder="1"/>
    <xf numFmtId="0" fontId="55" fillId="25" borderId="50" xfId="53" applyFont="1" applyFill="1" applyBorder="1" applyAlignment="1">
      <alignment wrapText="1"/>
    </xf>
    <xf numFmtId="172" fontId="55" fillId="25" borderId="50" xfId="53" applyNumberFormat="1" applyFont="1" applyFill="1" applyBorder="1" applyAlignment="1">
      <alignment wrapText="1"/>
    </xf>
    <xf numFmtId="0" fontId="54" fillId="25" borderId="12" xfId="53" applyFont="1" applyFill="1" applyBorder="1"/>
    <xf numFmtId="173" fontId="54" fillId="25" borderId="0" xfId="53" applyNumberFormat="1" applyFont="1" applyFill="1" applyBorder="1"/>
    <xf numFmtId="0" fontId="54" fillId="25" borderId="0" xfId="53" applyFont="1" applyFill="1" applyBorder="1"/>
    <xf numFmtId="174" fontId="54" fillId="25" borderId="0" xfId="53" applyNumberFormat="1" applyFont="1" applyFill="1" applyBorder="1"/>
    <xf numFmtId="174" fontId="54" fillId="25" borderId="56" xfId="53" applyNumberFormat="1" applyFont="1" applyFill="1" applyBorder="1"/>
    <xf numFmtId="0" fontId="54" fillId="25" borderId="56" xfId="53" applyFont="1" applyFill="1" applyBorder="1"/>
    <xf numFmtId="49" fontId="54" fillId="25" borderId="56" xfId="53" applyNumberFormat="1" applyFont="1" applyFill="1" applyBorder="1"/>
    <xf numFmtId="49" fontId="54" fillId="25" borderId="12" xfId="53" applyNumberFormat="1" applyFont="1" applyFill="1" applyBorder="1"/>
    <xf numFmtId="49" fontId="54" fillId="25" borderId="62" xfId="53" applyNumberFormat="1" applyFont="1" applyFill="1" applyBorder="1"/>
    <xf numFmtId="174" fontId="54" fillId="25" borderId="62" xfId="53" applyNumberFormat="1" applyFont="1" applyFill="1" applyBorder="1"/>
    <xf numFmtId="0" fontId="54" fillId="25" borderId="47" xfId="53" applyFont="1" applyFill="1" applyBorder="1"/>
    <xf numFmtId="0" fontId="54" fillId="25" borderId="48" xfId="53" applyFont="1" applyFill="1" applyBorder="1"/>
    <xf numFmtId="49" fontId="54" fillId="25" borderId="30" xfId="53" applyNumberFormat="1" applyFont="1" applyFill="1" applyBorder="1"/>
    <xf numFmtId="173" fontId="54" fillId="25" borderId="11" xfId="53" applyNumberFormat="1" applyFont="1" applyFill="1" applyBorder="1"/>
    <xf numFmtId="0" fontId="54" fillId="25" borderId="11" xfId="53" applyFont="1" applyFill="1" applyBorder="1"/>
    <xf numFmtId="0" fontId="55" fillId="25" borderId="47" xfId="72" applyFont="1" applyFill="1" applyBorder="1"/>
    <xf numFmtId="0" fontId="54" fillId="25" borderId="48" xfId="72" applyFont="1" applyFill="1" applyBorder="1"/>
    <xf numFmtId="0" fontId="55" fillId="25" borderId="48" xfId="72" applyFont="1" applyFill="1" applyBorder="1"/>
    <xf numFmtId="0" fontId="55" fillId="25" borderId="49" xfId="72" applyFont="1" applyFill="1" applyBorder="1"/>
    <xf numFmtId="0" fontId="54" fillId="25" borderId="50" xfId="72" applyFont="1" applyFill="1" applyBorder="1"/>
    <xf numFmtId="0" fontId="55" fillId="25" borderId="50" xfId="72" applyFont="1" applyFill="1" applyBorder="1"/>
    <xf numFmtId="0" fontId="1" fillId="0" borderId="0" xfId="72" applyFont="1"/>
    <xf numFmtId="0" fontId="54" fillId="25" borderId="61" xfId="72" applyFont="1" applyFill="1" applyBorder="1"/>
    <xf numFmtId="170" fontId="7" fillId="25" borderId="61" xfId="51" applyNumberFormat="1" applyFont="1" applyFill="1" applyBorder="1"/>
    <xf numFmtId="170" fontId="54" fillId="25" borderId="61" xfId="51" applyNumberFormat="1" applyFont="1" applyFill="1" applyBorder="1"/>
    <xf numFmtId="0" fontId="54" fillId="25" borderId="56" xfId="72" applyFont="1" applyFill="1" applyBorder="1"/>
    <xf numFmtId="170" fontId="7" fillId="25" borderId="56" xfId="51" applyNumberFormat="1" applyFont="1" applyFill="1" applyBorder="1"/>
    <xf numFmtId="170" fontId="54" fillId="25" borderId="56" xfId="51" applyNumberFormat="1" applyFont="1" applyFill="1" applyBorder="1"/>
    <xf numFmtId="164" fontId="7" fillId="25" borderId="56" xfId="73" applyNumberFormat="1" applyFont="1" applyFill="1" applyBorder="1"/>
    <xf numFmtId="170" fontId="7" fillId="25" borderId="50" xfId="51" applyNumberFormat="1" applyFont="1" applyFill="1" applyBorder="1"/>
    <xf numFmtId="170" fontId="54" fillId="25" borderId="50" xfId="51" applyNumberFormat="1" applyFont="1" applyFill="1" applyBorder="1"/>
    <xf numFmtId="164" fontId="7" fillId="25" borderId="50" xfId="73" applyNumberFormat="1" applyFont="1" applyFill="1" applyBorder="1"/>
    <xf numFmtId="164" fontId="54" fillId="25" borderId="56" xfId="45" applyNumberFormat="1" applyFont="1" applyFill="1" applyBorder="1"/>
    <xf numFmtId="0" fontId="54" fillId="25" borderId="62" xfId="72" applyFont="1" applyFill="1" applyBorder="1"/>
    <xf numFmtId="164" fontId="54" fillId="25" borderId="62" xfId="45" applyNumberFormat="1" applyFont="1" applyFill="1" applyBorder="1"/>
    <xf numFmtId="0" fontId="63" fillId="0" borderId="0" xfId="0" applyFont="1" applyAlignment="1"/>
    <xf numFmtId="0" fontId="7" fillId="25" borderId="31" xfId="0" applyFont="1" applyFill="1" applyBorder="1"/>
    <xf numFmtId="0" fontId="7" fillId="25" borderId="32" xfId="0" applyFont="1" applyFill="1" applyBorder="1"/>
    <xf numFmtId="170" fontId="7" fillId="25" borderId="32" xfId="51" applyNumberFormat="1" applyFont="1" applyFill="1" applyBorder="1"/>
    <xf numFmtId="165" fontId="7" fillId="25" borderId="32" xfId="0" applyNumberFormat="1" applyFont="1" applyFill="1" applyBorder="1" applyAlignment="1" applyProtection="1">
      <alignment horizontal="right" vertical="center"/>
      <protection locked="0"/>
    </xf>
    <xf numFmtId="164" fontId="7" fillId="25" borderId="0" xfId="45" applyNumberFormat="1" applyFont="1" applyFill="1" applyBorder="1"/>
    <xf numFmtId="165" fontId="7" fillId="25" borderId="0" xfId="0" applyNumberFormat="1" applyFont="1" applyFill="1" applyBorder="1" applyAlignment="1" applyProtection="1">
      <alignment horizontal="right" vertical="center"/>
      <protection locked="0"/>
    </xf>
    <xf numFmtId="165" fontId="7" fillId="25" borderId="23" xfId="0" applyNumberFormat="1" applyFont="1" applyFill="1" applyBorder="1" applyAlignment="1" applyProtection="1">
      <alignment horizontal="right" vertical="center"/>
      <protection locked="0"/>
    </xf>
    <xf numFmtId="165" fontId="7" fillId="25" borderId="11" xfId="0" applyNumberFormat="1" applyFont="1" applyFill="1" applyBorder="1" applyAlignment="1" applyProtection="1">
      <alignment horizontal="right" vertical="center"/>
      <protection locked="0"/>
    </xf>
    <xf numFmtId="164" fontId="7" fillId="25" borderId="11" xfId="45" applyNumberFormat="1" applyFont="1" applyFill="1" applyBorder="1"/>
    <xf numFmtId="164" fontId="7" fillId="24" borderId="31" xfId="45" applyNumberFormat="1" applyFont="1" applyFill="1" applyBorder="1" applyAlignment="1">
      <alignment horizontal="right" vertical="top"/>
    </xf>
    <xf numFmtId="164" fontId="7" fillId="24" borderId="32" xfId="45" applyNumberFormat="1" applyFont="1" applyFill="1" applyBorder="1" applyAlignment="1">
      <alignment horizontal="right" vertical="top"/>
    </xf>
    <xf numFmtId="164" fontId="7" fillId="24" borderId="45" xfId="45" applyNumberFormat="1" applyFont="1" applyFill="1" applyBorder="1" applyAlignment="1">
      <alignment horizontal="right" vertical="top"/>
    </xf>
    <xf numFmtId="164" fontId="7" fillId="24" borderId="12" xfId="45" applyNumberFormat="1" applyFont="1" applyFill="1" applyBorder="1" applyAlignment="1">
      <alignment horizontal="right" vertical="top"/>
    </xf>
    <xf numFmtId="164" fontId="7" fillId="24" borderId="0" xfId="45" applyNumberFormat="1" applyFont="1" applyFill="1" applyBorder="1" applyAlignment="1">
      <alignment horizontal="right" vertical="top"/>
    </xf>
    <xf numFmtId="164" fontId="7" fillId="24" borderId="23" xfId="45" applyNumberFormat="1" applyFont="1" applyFill="1" applyBorder="1" applyAlignment="1">
      <alignment horizontal="right" vertical="top"/>
    </xf>
    <xf numFmtId="164" fontId="7" fillId="24" borderId="30" xfId="45" applyNumberFormat="1" applyFont="1" applyFill="1" applyBorder="1" applyAlignment="1">
      <alignment horizontal="right" vertical="top"/>
    </xf>
    <xf numFmtId="164" fontId="7" fillId="24" borderId="11" xfId="45" applyNumberFormat="1" applyFont="1" applyFill="1" applyBorder="1" applyAlignment="1">
      <alignment horizontal="right" vertical="top"/>
    </xf>
    <xf numFmtId="164" fontId="7" fillId="24" borderId="46" xfId="45" applyNumberFormat="1" applyFont="1" applyFill="1" applyBorder="1" applyAlignment="1">
      <alignment horizontal="right" vertical="top"/>
    </xf>
    <xf numFmtId="2" fontId="12" fillId="0" borderId="45" xfId="38" applyNumberFormat="1" applyFont="1" applyFill="1" applyBorder="1" applyAlignment="1">
      <alignment horizontal="center" vertical="top" wrapText="1"/>
    </xf>
    <xf numFmtId="2" fontId="12" fillId="0" borderId="46" xfId="38" applyNumberFormat="1" applyFont="1" applyFill="1" applyBorder="1" applyAlignment="1">
      <alignment horizontal="center" vertical="top" wrapText="1"/>
    </xf>
    <xf numFmtId="2" fontId="12" fillId="0" borderId="32" xfId="38" applyNumberFormat="1" applyFont="1" applyFill="1" applyBorder="1" applyAlignment="1">
      <alignment horizontal="center" vertical="top" wrapText="1"/>
    </xf>
    <xf numFmtId="2" fontId="12" fillId="0" borderId="11" xfId="38" applyNumberFormat="1" applyFont="1" applyFill="1" applyBorder="1" applyAlignment="1">
      <alignment horizontal="center" vertical="top" wrapText="1"/>
    </xf>
    <xf numFmtId="0" fontId="55" fillId="0" borderId="30" xfId="53" applyFont="1" applyBorder="1" applyAlignment="1">
      <alignment horizontal="center" wrapText="1"/>
    </xf>
    <xf numFmtId="0" fontId="55" fillId="0" borderId="11" xfId="53" applyFont="1" applyBorder="1" applyAlignment="1">
      <alignment horizontal="center" wrapText="1"/>
    </xf>
    <xf numFmtId="0" fontId="55" fillId="0" borderId="47" xfId="53" applyFont="1" applyBorder="1" applyAlignment="1">
      <alignment horizontal="center" vertical="center"/>
    </xf>
    <xf numFmtId="0" fontId="55" fillId="0" borderId="48" xfId="53" applyFont="1" applyBorder="1" applyAlignment="1">
      <alignment horizontal="center" vertical="center"/>
    </xf>
    <xf numFmtId="0" fontId="55" fillId="0" borderId="49" xfId="53" applyFont="1" applyBorder="1" applyAlignment="1">
      <alignment horizontal="center" vertical="center"/>
    </xf>
    <xf numFmtId="0" fontId="55" fillId="0" borderId="11" xfId="53" applyFont="1" applyBorder="1" applyAlignment="1">
      <alignment horizontal="center" vertical="top" wrapText="1"/>
    </xf>
    <xf numFmtId="0" fontId="55" fillId="0" borderId="45" xfId="53" applyFont="1" applyBorder="1" applyAlignment="1">
      <alignment horizontal="center" vertical="top" wrapText="1"/>
    </xf>
    <xf numFmtId="0" fontId="55" fillId="0" borderId="46" xfId="53" applyFont="1" applyBorder="1" applyAlignment="1">
      <alignment horizontal="center" vertical="top" wrapText="1"/>
    </xf>
    <xf numFmtId="0" fontId="55" fillId="0" borderId="31" xfId="53" applyFont="1" applyBorder="1" applyAlignment="1">
      <alignment horizontal="center" vertical="center"/>
    </xf>
    <xf numFmtId="0" fontId="55" fillId="0" borderId="32" xfId="53" applyFont="1" applyBorder="1" applyAlignment="1">
      <alignment horizontal="center" vertical="center"/>
    </xf>
    <xf numFmtId="0" fontId="55" fillId="0" borderId="31" xfId="53" applyFont="1" applyBorder="1" applyAlignment="1">
      <alignment horizontal="center" vertical="top" wrapText="1"/>
    </xf>
    <xf numFmtId="0" fontId="55" fillId="0" borderId="32" xfId="53" applyFont="1" applyBorder="1" applyAlignment="1">
      <alignment horizontal="center" vertical="top"/>
    </xf>
    <xf numFmtId="0" fontId="55" fillId="0" borderId="30" xfId="53" applyFont="1" applyBorder="1" applyAlignment="1">
      <alignment horizontal="center" vertical="top"/>
    </xf>
    <xf numFmtId="0" fontId="55" fillId="0" borderId="11" xfId="53" applyFont="1" applyBorder="1" applyAlignment="1">
      <alignment horizontal="center" vertical="top"/>
    </xf>
    <xf numFmtId="0" fontId="45" fillId="25" borderId="47" xfId="53" applyFont="1" applyFill="1" applyBorder="1" applyAlignment="1">
      <alignment horizontal="center"/>
    </xf>
    <xf numFmtId="0" fontId="45" fillId="25" borderId="48" xfId="53" applyFont="1" applyFill="1" applyBorder="1" applyAlignment="1">
      <alignment horizontal="center"/>
    </xf>
    <xf numFmtId="0" fontId="45" fillId="25" borderId="49" xfId="53" applyFont="1" applyFill="1" applyBorder="1" applyAlignment="1">
      <alignment horizontal="center"/>
    </xf>
    <xf numFmtId="0" fontId="45" fillId="25" borderId="12" xfId="53" applyFont="1" applyFill="1" applyBorder="1" applyAlignment="1">
      <alignment horizontal="center"/>
    </xf>
    <xf numFmtId="0" fontId="45" fillId="25" borderId="0" xfId="53" applyFont="1" applyFill="1" applyBorder="1" applyAlignment="1">
      <alignment horizontal="center"/>
    </xf>
    <xf numFmtId="0" fontId="45" fillId="25" borderId="23" xfId="53" applyFont="1" applyFill="1" applyBorder="1" applyAlignment="1">
      <alignment horizontal="center"/>
    </xf>
    <xf numFmtId="0" fontId="62" fillId="0" borderId="11" xfId="0" applyFont="1" applyFill="1" applyBorder="1" applyAlignment="1">
      <alignment horizontal="left" wrapText="1"/>
    </xf>
    <xf numFmtId="0" fontId="10" fillId="0" borderId="30" xfId="0" applyFont="1" applyFill="1" applyBorder="1" applyAlignment="1">
      <alignment horizontal="left" vertical="top" wrapText="1"/>
    </xf>
    <xf numFmtId="0" fontId="10" fillId="0" borderId="46" xfId="0" applyFont="1" applyFill="1" applyBorder="1" applyAlignment="1">
      <alignment horizontal="left" vertical="top" wrapText="1"/>
    </xf>
    <xf numFmtId="0" fontId="10" fillId="0" borderId="48" xfId="0" quotePrefix="1" applyFont="1" applyFill="1" applyBorder="1" applyAlignment="1">
      <alignment horizontal="center" vertical="center"/>
    </xf>
    <xf numFmtId="0" fontId="10" fillId="0" borderId="49" xfId="0" quotePrefix="1" applyFont="1" applyFill="1" applyBorder="1" applyAlignment="1">
      <alignment horizontal="center" vertical="center"/>
    </xf>
    <xf numFmtId="0" fontId="62" fillId="0" borderId="0" xfId="0" applyFont="1" applyFill="1" applyBorder="1" applyAlignment="1">
      <alignment horizontal="left" wrapText="1"/>
    </xf>
    <xf numFmtId="0" fontId="63" fillId="0" borderId="0" xfId="0" applyFont="1" applyAlignment="1">
      <alignment wrapText="1"/>
    </xf>
    <xf numFmtId="0" fontId="62" fillId="0" borderId="0" xfId="0" applyFont="1" applyFill="1" applyBorder="1" applyAlignment="1">
      <alignment horizontal="left"/>
    </xf>
    <xf numFmtId="0" fontId="63" fillId="0" borderId="0" xfId="0" applyFont="1" applyAlignment="1"/>
    <xf numFmtId="0" fontId="10" fillId="0" borderId="13"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4" xfId="0" applyFont="1" applyFill="1" applyBorder="1" applyAlignment="1">
      <alignment horizontal="left" wrapText="1"/>
    </xf>
    <xf numFmtId="0" fontId="10" fillId="0" borderId="17" xfId="0" applyFont="1" applyFill="1" applyBorder="1" applyAlignment="1">
      <alignment horizontal="left" wrapText="1"/>
    </xf>
    <xf numFmtId="0" fontId="10" fillId="0" borderId="44" xfId="0" applyFont="1" applyFill="1" applyBorder="1" applyAlignment="1">
      <alignment horizontal="left" vertical="top" wrapText="1"/>
    </xf>
    <xf numFmtId="0" fontId="10" fillId="0" borderId="34" xfId="0" applyFont="1" applyFill="1" applyBorder="1" applyAlignment="1">
      <alignment horizontal="left" vertical="top" wrapText="1"/>
    </xf>
    <xf numFmtId="0" fontId="10" fillId="0" borderId="28" xfId="0" quotePrefix="1" applyFont="1" applyFill="1" applyBorder="1" applyAlignment="1">
      <alignment horizontal="center" vertical="center"/>
    </xf>
    <xf numFmtId="0" fontId="10" fillId="0" borderId="29" xfId="0" quotePrefix="1" applyFont="1" applyFill="1" applyBorder="1" applyAlignment="1">
      <alignment horizontal="center" vertical="center"/>
    </xf>
    <xf numFmtId="0" fontId="63" fillId="0" borderId="11" xfId="0" applyFont="1" applyFill="1" applyBorder="1" applyAlignment="1">
      <alignment wrapText="1"/>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1" builtinId="3"/>
    <cellStyle name="Comma 2" xfId="56"/>
    <cellStyle name="Comma 2 2" xfId="57"/>
    <cellStyle name="Comma 2 3" xfId="74"/>
    <cellStyle name="Comma 3" xfId="58"/>
    <cellStyle name="Comma 4" xfId="59"/>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10" xfId="60"/>
    <cellStyle name="Normal 12" xfId="61"/>
    <cellStyle name="Normal 2" xfId="52"/>
    <cellStyle name="Normal 2 2" xfId="53"/>
    <cellStyle name="Normal 2 2 2" xfId="62"/>
    <cellStyle name="Normal 2 3" xfId="63"/>
    <cellStyle name="Normal 3" xfId="54"/>
    <cellStyle name="Normal 3 2" xfId="72"/>
    <cellStyle name="Normal 4" xfId="64"/>
    <cellStyle name="Normal 5" xfId="65"/>
    <cellStyle name="Normal 6" xfId="66"/>
    <cellStyle name="Normal 7" xfId="67"/>
    <cellStyle name="Normal 8" xfId="68"/>
    <cellStyle name="Normal_1. Tax revenue - 30 May 2008" xfId="50"/>
    <cellStyle name="Normal_2. PIT - 30 May 2008" xfId="49"/>
    <cellStyle name="Normal_2. PIT - Jan 2008" xfId="38"/>
    <cellStyle name="Normal_2.1.4 &amp; 2.1.5" xfId="39"/>
    <cellStyle name="Normal_2.2.1" xfId="40"/>
    <cellStyle name="Normal_2.3.1" xfId="41"/>
    <cellStyle name="Normal_A2.1.3" xfId="42"/>
    <cellStyle name="Note" xfId="43" builtinId="10" customBuiltin="1"/>
    <cellStyle name="Output" xfId="44" builtinId="21" customBuiltin="1"/>
    <cellStyle name="Percent" xfId="45" builtinId="5"/>
    <cellStyle name="Percent 2" xfId="55"/>
    <cellStyle name="Percent 2 2" xfId="69"/>
    <cellStyle name="Percent 2 3" xfId="73"/>
    <cellStyle name="SAPBEXchaText" xfId="70"/>
    <cellStyle name="SAPBEXstdItem" xfId="71"/>
    <cellStyle name="Title" xfId="46" builtinId="15" customBuiltin="1"/>
    <cellStyle name="Total" xfId="47" builtinId="25" customBuiltin="1"/>
    <cellStyle name="Warning Text" xfId="48" builtinId="11" customBuiltin="1"/>
  </cellStyles>
  <dxfs count="0"/>
  <tableStyles count="0" defaultTableStyle="TableStyleMedium9" defaultPivotStyle="PivotStyleLight16"/>
  <colors>
    <mruColors>
      <color rgb="FF99CCFF"/>
      <color rgb="FF993300"/>
      <color rgb="FF991F00"/>
      <color rgb="FFFFFF99"/>
      <color rgb="FF004F87"/>
      <color rgb="FF8EB4E3"/>
      <color rgb="FF00CCFF"/>
      <color rgb="FFFF66FF"/>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chart1.xml><?xml version="1.0" encoding="utf-8"?>
<c:chartSpace xmlns:c="http://schemas.openxmlformats.org/drawingml/2006/chart" xmlns:a="http://schemas.openxmlformats.org/drawingml/2006/main" xmlns:r="http://schemas.openxmlformats.org/officeDocument/2006/relationships">
  <c:lang val="en-ZA"/>
  <c:chart>
    <c:plotArea>
      <c:layout>
        <c:manualLayout>
          <c:layoutTarget val="inner"/>
          <c:xMode val="edge"/>
          <c:yMode val="edge"/>
          <c:x val="0.10434959467704905"/>
          <c:y val="6.4929611071344012E-2"/>
          <c:w val="0.71707818810471569"/>
          <c:h val="0.70325262818083567"/>
        </c:manualLayout>
      </c:layout>
      <c:lineChart>
        <c:grouping val="standard"/>
        <c:ser>
          <c:idx val="3"/>
          <c:order val="1"/>
          <c:tx>
            <c:strRef>
              <c:f>'Fig 2.1'!$H$30</c:f>
              <c:strCache>
                <c:ptCount val="1"/>
                <c:pt idx="0">
                  <c:v>Effective rate (1994/95)</c:v>
                </c:pt>
              </c:strCache>
            </c:strRef>
          </c:tx>
          <c:spPr>
            <a:ln>
              <a:solidFill>
                <a:srgbClr val="99CCFF"/>
              </a:solidFill>
            </a:ln>
          </c:spPr>
          <c:marker>
            <c:symbol val="none"/>
          </c:marker>
          <c:dLbls>
            <c:dLbl>
              <c:idx val="0"/>
              <c:layout>
                <c:manualLayout>
                  <c:x val="-2.1267009520488905E-2"/>
                  <c:y val="-0.10551714458152626"/>
                </c:manualLayout>
              </c:layout>
              <c:tx>
                <c:rich>
                  <a:bodyPr/>
                  <a:lstStyle/>
                  <a:p>
                    <a:r>
                      <a:rPr lang="en-US"/>
                      <a:t>(2) Paying tax at an effective tax rate of 33.8% in 1994/95</a:t>
                    </a:r>
                  </a:p>
                </c:rich>
              </c:tx>
              <c:dLblPos val="r"/>
              <c:showVal val="1"/>
            </c:dLbl>
            <c:dLbl>
              <c:idx val="16"/>
              <c:layout>
                <c:manualLayout>
                  <c:x val="-0.1865808563597447"/>
                  <c:y val="0.20464328322596073"/>
                </c:manualLayout>
              </c:layout>
              <c:tx>
                <c:rich>
                  <a:bodyPr/>
                  <a:lstStyle/>
                  <a:p>
                    <a:r>
                      <a:rPr lang="en-US"/>
                      <a:t>(4) If income had only</a:t>
                    </a:r>
                    <a:r>
                      <a:rPr lang="en-US" baseline="0"/>
                      <a:t> kept pace with inflation, they would be paying tax at </a:t>
                    </a:r>
                    <a:r>
                      <a:rPr lang="en-US"/>
                      <a:t>39.8%</a:t>
                    </a:r>
                  </a:p>
                </c:rich>
              </c:tx>
              <c:dLblPos val="r"/>
              <c:showVal val="1"/>
            </c:dLbl>
            <c:delete val="1"/>
            <c:spPr>
              <a:solidFill>
                <a:schemeClr val="accent2">
                  <a:lumMod val="60000"/>
                  <a:lumOff val="40000"/>
                </a:schemeClr>
              </a:solidFill>
              <a:ln>
                <a:solidFill>
                  <a:schemeClr val="tx1"/>
                </a:solidFill>
              </a:ln>
            </c:spPr>
          </c:dLbls>
          <c:cat>
            <c:strRef>
              <c:f>'Fig 2.1'!$D$31:$D$48</c:f>
              <c:strCache>
                <c:ptCount val="18"/>
                <c:pt idx="0">
                  <c:v>1994/95</c:v>
                </c:pt>
                <c:pt idx="1">
                  <c:v>1995/96</c:v>
                </c:pt>
                <c:pt idx="2">
                  <c:v>1996/97</c:v>
                </c:pt>
                <c:pt idx="3">
                  <c:v>1997/98</c:v>
                </c:pt>
                <c:pt idx="4">
                  <c:v>1998/99</c:v>
                </c:pt>
                <c:pt idx="5">
                  <c:v>1999/00</c:v>
                </c:pt>
                <c:pt idx="6">
                  <c:v>2000/01</c:v>
                </c:pt>
                <c:pt idx="7">
                  <c:v>2001/02</c:v>
                </c:pt>
                <c:pt idx="8">
                  <c:v>2002/03</c:v>
                </c:pt>
                <c:pt idx="9">
                  <c:v>2003/04</c:v>
                </c:pt>
                <c:pt idx="10">
                  <c:v>2004/05</c:v>
                </c:pt>
                <c:pt idx="11">
                  <c:v>2005/06</c:v>
                </c:pt>
                <c:pt idx="12">
                  <c:v>2006/07</c:v>
                </c:pt>
                <c:pt idx="13">
                  <c:v>2007/08</c:v>
                </c:pt>
                <c:pt idx="14">
                  <c:v>2008/09</c:v>
                </c:pt>
                <c:pt idx="15">
                  <c:v>2009/10</c:v>
                </c:pt>
                <c:pt idx="16">
                  <c:v>2010/11</c:v>
                </c:pt>
                <c:pt idx="17">
                  <c:v>2011/12</c:v>
                </c:pt>
              </c:strCache>
            </c:strRef>
          </c:cat>
          <c:val>
            <c:numRef>
              <c:f>'Fig 2.1'!$H$31:$H$48</c:f>
              <c:numCache>
                <c:formatCode>0.0%</c:formatCode>
                <c:ptCount val="18"/>
                <c:pt idx="0">
                  <c:v>0.33765000000000001</c:v>
                </c:pt>
                <c:pt idx="1">
                  <c:v>0.34429665518491664</c:v>
                </c:pt>
                <c:pt idx="2">
                  <c:v>0.3507610375460945</c:v>
                </c:pt>
                <c:pt idx="3">
                  <c:v>0.35634159395450293</c:v>
                </c:pt>
                <c:pt idx="4">
                  <c:v>0.36154653200115844</c:v>
                </c:pt>
                <c:pt idx="5">
                  <c:v>0.36404859793526789</c:v>
                </c:pt>
                <c:pt idx="6">
                  <c:v>0.3680825605762934</c:v>
                </c:pt>
                <c:pt idx="7">
                  <c:v>0.37117958815478413</c:v>
                </c:pt>
                <c:pt idx="8">
                  <c:v>0.37671554891794412</c:v>
                </c:pt>
                <c:pt idx="9">
                  <c:v>0.37844152579343437</c:v>
                </c:pt>
                <c:pt idx="10">
                  <c:v>0.37944501657576724</c:v>
                </c:pt>
                <c:pt idx="11">
                  <c:v>0.3812086231809268</c:v>
                </c:pt>
                <c:pt idx="12">
                  <c:v>0.38362114686549587</c:v>
                </c:pt>
                <c:pt idx="13">
                  <c:v>0.38722200253370737</c:v>
                </c:pt>
                <c:pt idx="14">
                  <c:v>0.39138694355958503</c:v>
                </c:pt>
                <c:pt idx="15">
                  <c:v>0.39372470457335779</c:v>
                </c:pt>
                <c:pt idx="16">
                  <c:v>0.39506247505727593</c:v>
                </c:pt>
                <c:pt idx="17">
                  <c:v>0.39804949648553661</c:v>
                </c:pt>
              </c:numCache>
            </c:numRef>
          </c:val>
          <c:smooth val="1"/>
        </c:ser>
        <c:ser>
          <c:idx val="5"/>
          <c:order val="2"/>
          <c:tx>
            <c:strRef>
              <c:f>'Fig 2.1'!$J$30</c:f>
              <c:strCache>
                <c:ptCount val="1"/>
                <c:pt idx="0">
                  <c:v>Effective rate (Applicable rate)</c:v>
                </c:pt>
              </c:strCache>
            </c:strRef>
          </c:tx>
          <c:spPr>
            <a:ln>
              <a:solidFill>
                <a:schemeClr val="tx2"/>
              </a:solidFill>
            </a:ln>
          </c:spPr>
          <c:marker>
            <c:symbol val="none"/>
          </c:marker>
          <c:dLbls>
            <c:dLbl>
              <c:idx val="16"/>
              <c:layout>
                <c:manualLayout>
                  <c:x val="-0.18450184501845021"/>
                  <c:y val="-9.2691902816960714E-2"/>
                </c:manualLayout>
              </c:layout>
              <c:tx>
                <c:rich>
                  <a:bodyPr/>
                  <a:lstStyle/>
                  <a:p>
                    <a:pPr>
                      <a:defRPr>
                        <a:solidFill>
                          <a:schemeClr val="bg1"/>
                        </a:solidFill>
                        <a:latin typeface="+mn-lt"/>
                        <a:ea typeface="+mn-ea"/>
                        <a:cs typeface="+mn-cs"/>
                      </a:defRPr>
                    </a:pPr>
                    <a:r>
                      <a:rPr lang="en-US">
                        <a:solidFill>
                          <a:schemeClr val="bg1"/>
                        </a:solidFill>
                        <a:latin typeface="+mn-lt"/>
                        <a:ea typeface="+mn-ea"/>
                        <a:cs typeface="+mn-cs"/>
                      </a:rPr>
                      <a:t>(5) With tax relief they are paying tax at 17.8%</a:t>
                    </a:r>
                  </a:p>
                </c:rich>
              </c:tx>
              <c:spPr>
                <a:solidFill>
                  <a:schemeClr val="accent1">
                    <a:lumMod val="75000"/>
                  </a:schemeClr>
                </a:solidFill>
                <a:ln w="3175" cap="flat" cmpd="sng" algn="ctr">
                  <a:solidFill>
                    <a:schemeClr val="dk1"/>
                  </a:solidFill>
                  <a:prstDash val="solid"/>
                </a:ln>
                <a:effectLst/>
              </c:spPr>
              <c:showVal val="1"/>
            </c:dLbl>
            <c:delete val="1"/>
          </c:dLbls>
          <c:cat>
            <c:strRef>
              <c:f>'Fig 2.1'!$D$31:$D$48</c:f>
              <c:strCache>
                <c:ptCount val="18"/>
                <c:pt idx="0">
                  <c:v>1994/95</c:v>
                </c:pt>
                <c:pt idx="1">
                  <c:v>1995/96</c:v>
                </c:pt>
                <c:pt idx="2">
                  <c:v>1996/97</c:v>
                </c:pt>
                <c:pt idx="3">
                  <c:v>1997/98</c:v>
                </c:pt>
                <c:pt idx="4">
                  <c:v>1998/99</c:v>
                </c:pt>
                <c:pt idx="5">
                  <c:v>1999/00</c:v>
                </c:pt>
                <c:pt idx="6">
                  <c:v>2000/01</c:v>
                </c:pt>
                <c:pt idx="7">
                  <c:v>2001/02</c:v>
                </c:pt>
                <c:pt idx="8">
                  <c:v>2002/03</c:v>
                </c:pt>
                <c:pt idx="9">
                  <c:v>2003/04</c:v>
                </c:pt>
                <c:pt idx="10">
                  <c:v>2004/05</c:v>
                </c:pt>
                <c:pt idx="11">
                  <c:v>2005/06</c:v>
                </c:pt>
                <c:pt idx="12">
                  <c:v>2006/07</c:v>
                </c:pt>
                <c:pt idx="13">
                  <c:v>2007/08</c:v>
                </c:pt>
                <c:pt idx="14">
                  <c:v>2008/09</c:v>
                </c:pt>
                <c:pt idx="15">
                  <c:v>2009/10</c:v>
                </c:pt>
                <c:pt idx="16">
                  <c:v>2010/11</c:v>
                </c:pt>
                <c:pt idx="17">
                  <c:v>2011/12</c:v>
                </c:pt>
              </c:strCache>
            </c:strRef>
          </c:cat>
          <c:val>
            <c:numRef>
              <c:f>'Fig 2.1'!$J$31:$J$48</c:f>
              <c:numCache>
                <c:formatCode>0.0%</c:formatCode>
                <c:ptCount val="18"/>
                <c:pt idx="0">
                  <c:v>0.33765000000000001</c:v>
                </c:pt>
                <c:pt idx="1">
                  <c:v>0.33891610768672958</c:v>
                </c:pt>
                <c:pt idx="2">
                  <c:v>0.3345093194770366</c:v>
                </c:pt>
                <c:pt idx="3">
                  <c:v>0.33701988937363664</c:v>
                </c:pt>
                <c:pt idx="4">
                  <c:v>0.33610855053576599</c:v>
                </c:pt>
                <c:pt idx="5">
                  <c:v>0.32973777901785717</c:v>
                </c:pt>
                <c:pt idx="6">
                  <c:v>0.30345304518664046</c:v>
                </c:pt>
                <c:pt idx="7">
                  <c:v>0.28866477541371161</c:v>
                </c:pt>
                <c:pt idx="8">
                  <c:v>0.25156341298467094</c:v>
                </c:pt>
                <c:pt idx="9">
                  <c:v>0.22270891045915586</c:v>
                </c:pt>
                <c:pt idx="10">
                  <c:v>0.21598960538979792</c:v>
                </c:pt>
                <c:pt idx="11">
                  <c:v>0.20523727938899786</c:v>
                </c:pt>
                <c:pt idx="12">
                  <c:v>0.1885099578141862</c:v>
                </c:pt>
                <c:pt idx="13">
                  <c:v>0.18597938195638403</c:v>
                </c:pt>
                <c:pt idx="14">
                  <c:v>0.18890645266682987</c:v>
                </c:pt>
                <c:pt idx="15">
                  <c:v>0.1841390239410679</c:v>
                </c:pt>
                <c:pt idx="16">
                  <c:v>0.18230574975981084</c:v>
                </c:pt>
                <c:pt idx="17">
                  <c:v>0.17842547985942153</c:v>
                </c:pt>
              </c:numCache>
            </c:numRef>
          </c:val>
          <c:smooth val="1"/>
        </c:ser>
        <c:marker val="1"/>
        <c:axId val="85636608"/>
        <c:axId val="103712256"/>
      </c:lineChart>
      <c:lineChart>
        <c:grouping val="standard"/>
        <c:ser>
          <c:idx val="1"/>
          <c:order val="0"/>
          <c:tx>
            <c:strRef>
              <c:f>'Fig 2.1'!$F$30</c:f>
              <c:strCache>
                <c:ptCount val="1"/>
                <c:pt idx="0">
                  <c:v>Taxable income</c:v>
                </c:pt>
              </c:strCache>
            </c:strRef>
          </c:tx>
          <c:spPr>
            <a:ln>
              <a:solidFill>
                <a:srgbClr val="993300"/>
              </a:solidFill>
            </a:ln>
          </c:spPr>
          <c:marker>
            <c:symbol val="none"/>
          </c:marker>
          <c:dLbls>
            <c:dLbl>
              <c:idx val="0"/>
              <c:layout>
                <c:manualLayout>
                  <c:x val="-7.3800738007380124E-3"/>
                  <c:y val="6.7735623956097668E-2"/>
                </c:manualLayout>
              </c:layout>
              <c:tx>
                <c:rich>
                  <a:bodyPr/>
                  <a:lstStyle/>
                  <a:p>
                    <a:r>
                      <a:rPr lang="en-US"/>
                      <a:t>(1) An individual with taxable income of</a:t>
                    </a:r>
                    <a:br>
                      <a:rPr lang="en-US"/>
                    </a:br>
                    <a:r>
                      <a:rPr lang="en-US"/>
                      <a:t>R 100 000 in 1994/95</a:t>
                    </a:r>
                  </a:p>
                </c:rich>
              </c:tx>
              <c:showVal val="1"/>
            </c:dLbl>
            <c:dLbl>
              <c:idx val="16"/>
              <c:layout>
                <c:manualLayout>
                  <c:x val="-0.30750307503075103"/>
                  <c:y val="-5.3477058683172492E-2"/>
                </c:manualLayout>
              </c:layout>
              <c:tx>
                <c:rich>
                  <a:bodyPr/>
                  <a:lstStyle/>
                  <a:p>
                    <a:r>
                      <a:rPr lang="en-US" sz="800" b="0" i="0" u="none" strike="noStrike" baseline="0"/>
                      <a:t>(3) If taxable income had only kept pace with inflation it</a:t>
                    </a:r>
                    <a:r>
                      <a:rPr lang="en-US"/>
                      <a:t> would have increased to </a:t>
                    </a:r>
                    <a:br>
                      <a:rPr lang="en-US"/>
                    </a:br>
                    <a:r>
                      <a:rPr lang="en-US"/>
                      <a:t>R 289 041 </a:t>
                    </a:r>
                  </a:p>
                </c:rich>
              </c:tx>
              <c:showVal val="1"/>
            </c:dLbl>
            <c:delete val="1"/>
            <c:spPr>
              <a:solidFill>
                <a:schemeClr val="accent1">
                  <a:lumMod val="60000"/>
                  <a:lumOff val="40000"/>
                </a:schemeClr>
              </a:solidFill>
              <a:ln>
                <a:solidFill>
                  <a:schemeClr val="tx1"/>
                </a:solidFill>
              </a:ln>
            </c:spPr>
          </c:dLbls>
          <c:cat>
            <c:strRef>
              <c:f>'Fig 2.1'!$D$31:$D$48</c:f>
              <c:strCache>
                <c:ptCount val="18"/>
                <c:pt idx="0">
                  <c:v>1994/95</c:v>
                </c:pt>
                <c:pt idx="1">
                  <c:v>1995/96</c:v>
                </c:pt>
                <c:pt idx="2">
                  <c:v>1996/97</c:v>
                </c:pt>
                <c:pt idx="3">
                  <c:v>1997/98</c:v>
                </c:pt>
                <c:pt idx="4">
                  <c:v>1998/99</c:v>
                </c:pt>
                <c:pt idx="5">
                  <c:v>1999/00</c:v>
                </c:pt>
                <c:pt idx="6">
                  <c:v>2000/01</c:v>
                </c:pt>
                <c:pt idx="7">
                  <c:v>2001/02</c:v>
                </c:pt>
                <c:pt idx="8">
                  <c:v>2002/03</c:v>
                </c:pt>
                <c:pt idx="9">
                  <c:v>2003/04</c:v>
                </c:pt>
                <c:pt idx="10">
                  <c:v>2004/05</c:v>
                </c:pt>
                <c:pt idx="11">
                  <c:v>2005/06</c:v>
                </c:pt>
                <c:pt idx="12">
                  <c:v>2006/07</c:v>
                </c:pt>
                <c:pt idx="13">
                  <c:v>2007/08</c:v>
                </c:pt>
                <c:pt idx="14">
                  <c:v>2008/09</c:v>
                </c:pt>
                <c:pt idx="15">
                  <c:v>2009/10</c:v>
                </c:pt>
                <c:pt idx="16">
                  <c:v>2010/11</c:v>
                </c:pt>
                <c:pt idx="17">
                  <c:v>2011/12</c:v>
                </c:pt>
              </c:strCache>
            </c:strRef>
          </c:cat>
          <c:val>
            <c:numRef>
              <c:f>'Fig 2.1'!$F$31:$F$48</c:f>
              <c:numCache>
                <c:formatCode>_ [$R-1C09]\ * #,##0_ ;_ [$R-1C09]\ * \-#,##0_ ;_ [$R-1C09]\ * "-"??_ ;_ @_ </c:formatCode>
                <c:ptCount val="18"/>
                <c:pt idx="0">
                  <c:v>100000</c:v>
                </c:pt>
                <c:pt idx="1">
                  <c:v>107755.42098066033</c:v>
                </c:pt>
                <c:pt idx="2">
                  <c:v>116546.20042977146</c:v>
                </c:pt>
                <c:pt idx="3">
                  <c:v>125376.05000976752</c:v>
                </c:pt>
                <c:pt idx="4">
                  <c:v>134909.16194569255</c:v>
                </c:pt>
                <c:pt idx="5">
                  <c:v>140027.34909161946</c:v>
                </c:pt>
                <c:pt idx="6">
                  <c:v>149150.22465325263</c:v>
                </c:pt>
                <c:pt idx="7">
                  <c:v>157003.32096112522</c:v>
                </c:pt>
                <c:pt idx="8">
                  <c:v>173315.1006055871</c:v>
                </c:pt>
                <c:pt idx="9">
                  <c:v>179117.01504200042</c:v>
                </c:pt>
                <c:pt idx="10">
                  <c:v>182672.39695252985</c:v>
                </c:pt>
                <c:pt idx="11">
                  <c:v>189275.24907208444</c:v>
                </c:pt>
                <c:pt idx="12">
                  <c:v>199120.92205508889</c:v>
                </c:pt>
                <c:pt idx="13">
                  <c:v>215882.00820472749</c:v>
                </c:pt>
                <c:pt idx="14">
                  <c:v>239167.80621215049</c:v>
                </c:pt>
                <c:pt idx="15">
                  <c:v>254580.97284625852</c:v>
                </c:pt>
                <c:pt idx="16">
                  <c:v>264328.97050205129</c:v>
                </c:pt>
                <c:pt idx="17">
                  <c:v>289040.82828677486</c:v>
                </c:pt>
              </c:numCache>
            </c:numRef>
          </c:val>
          <c:smooth val="1"/>
        </c:ser>
        <c:marker val="1"/>
        <c:axId val="125298176"/>
        <c:axId val="103714176"/>
      </c:lineChart>
      <c:catAx>
        <c:axId val="85636608"/>
        <c:scaling>
          <c:orientation val="minMax"/>
        </c:scaling>
        <c:axPos val="b"/>
        <c:numFmt formatCode="General" sourceLinked="1"/>
        <c:tickLblPos val="nextTo"/>
        <c:spPr>
          <a:ln w="3175">
            <a:solidFill>
              <a:schemeClr val="tx1"/>
            </a:solidFill>
          </a:ln>
        </c:spPr>
        <c:txPr>
          <a:bodyPr rot="-5400000" vert="horz"/>
          <a:lstStyle/>
          <a:p>
            <a:pPr>
              <a:defRPr/>
            </a:pPr>
            <a:endParaRPr lang="en-US"/>
          </a:p>
        </c:txPr>
        <c:crossAx val="103712256"/>
        <c:crosses val="autoZero"/>
        <c:auto val="1"/>
        <c:lblAlgn val="ctr"/>
        <c:lblOffset val="100"/>
      </c:catAx>
      <c:valAx>
        <c:axId val="103712256"/>
        <c:scaling>
          <c:orientation val="minMax"/>
          <c:min val="0.15000000000000024"/>
        </c:scaling>
        <c:axPos val="l"/>
        <c:majorGridlines/>
        <c:numFmt formatCode="0%" sourceLinked="0"/>
        <c:tickLblPos val="nextTo"/>
        <c:spPr>
          <a:ln w="3175">
            <a:solidFill>
              <a:schemeClr val="tx1"/>
            </a:solidFill>
          </a:ln>
        </c:spPr>
        <c:crossAx val="85636608"/>
        <c:crosses val="autoZero"/>
        <c:crossBetween val="between"/>
      </c:valAx>
      <c:valAx>
        <c:axId val="103714176"/>
        <c:scaling>
          <c:orientation val="minMax"/>
        </c:scaling>
        <c:axPos val="r"/>
        <c:title>
          <c:tx>
            <c:rich>
              <a:bodyPr rot="-5400000" vert="horz"/>
              <a:lstStyle/>
              <a:p>
                <a:pPr>
                  <a:defRPr/>
                </a:pPr>
                <a:r>
                  <a:rPr lang="en-ZA"/>
                  <a:t>Taxable income</a:t>
                </a:r>
              </a:p>
            </c:rich>
          </c:tx>
          <c:layout/>
        </c:title>
        <c:numFmt formatCode="_ [$R-1C09]\ * #,##0_ ;_ [$R-1C09]\ * \-#,##0_ ;_ [$R-1C09]\ * &quot;-&quot;??_ ;_ @_ " sourceLinked="1"/>
        <c:tickLblPos val="nextTo"/>
        <c:spPr>
          <a:ln w="3175">
            <a:solidFill>
              <a:schemeClr val="tx1"/>
            </a:solidFill>
          </a:ln>
        </c:spPr>
        <c:crossAx val="125298176"/>
        <c:crosses val="max"/>
        <c:crossBetween val="between"/>
      </c:valAx>
      <c:catAx>
        <c:axId val="125298176"/>
        <c:scaling>
          <c:orientation val="minMax"/>
        </c:scaling>
        <c:delete val="1"/>
        <c:axPos val="b"/>
        <c:numFmt formatCode="General" sourceLinked="1"/>
        <c:tickLblPos val="none"/>
        <c:crossAx val="103714176"/>
        <c:crosses val="autoZero"/>
        <c:auto val="1"/>
        <c:lblAlgn val="ctr"/>
        <c:lblOffset val="100"/>
      </c:catAx>
      <c:spPr>
        <a:ln w="3175">
          <a:solidFill>
            <a:srgbClr val="000000"/>
          </a:solidFill>
        </a:ln>
      </c:spPr>
    </c:plotArea>
    <c:legend>
      <c:legendPos val="b"/>
      <c:layout/>
    </c:legend>
    <c:plotVisOnly val="1"/>
    <c:dispBlanksAs val="gap"/>
  </c:chart>
  <c:spPr>
    <a:ln w="3175">
      <a:solidFill>
        <a:schemeClr val="tx1"/>
      </a:solidFill>
    </a:ln>
  </c:spPr>
  <c:txPr>
    <a:bodyPr/>
    <a:lstStyle/>
    <a:p>
      <a:pPr>
        <a:defRPr sz="800">
          <a:latin typeface="Arial" pitchFamily="34" charset="0"/>
          <a:cs typeface="Arial" pitchFamily="34" charset="0"/>
        </a:defRPr>
      </a:pPr>
      <a:endParaRPr lang="en-US"/>
    </a:p>
  </c:txPr>
  <c:printSettings>
    <c:headerFooter/>
    <c:pageMargins b="0.74803149606299923" l="0.70866141732284282" r="0.70866141732284282" t="0.74803149606299923" header="0.31496062992126639" footer="0.31496062992126639"/>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ZA"/>
  <c:chart>
    <c:autoTitleDeleted val="1"/>
    <c:plotArea>
      <c:layout/>
      <c:barChart>
        <c:barDir val="col"/>
        <c:grouping val="stacked"/>
        <c:ser>
          <c:idx val="0"/>
          <c:order val="0"/>
          <c:tx>
            <c:strRef>
              <c:f>'Fig 2.2'!$C$35</c:f>
              <c:strCache>
                <c:ptCount val="1"/>
                <c:pt idx="0">
                  <c:v>Loss</c:v>
                </c:pt>
              </c:strCache>
            </c:strRef>
          </c:tx>
          <c:spPr>
            <a:solidFill>
              <a:schemeClr val="bg1">
                <a:lumMod val="50000"/>
              </a:schemeClr>
            </a:solidFill>
            <a:ln>
              <a:solidFill>
                <a:schemeClr val="tx1"/>
              </a:solidFill>
            </a:ln>
          </c:spPr>
          <c:cat>
            <c:strRef>
              <c:f>'Fig 2.2'!$D$34:$F$34</c:f>
              <c:strCache>
                <c:ptCount val="3"/>
                <c:pt idx="0">
                  <c:v>Number</c:v>
                </c:pt>
                <c:pt idx="1">
                  <c:v>Taxable income</c:v>
                </c:pt>
                <c:pt idx="2">
                  <c:v>Tax paid</c:v>
                </c:pt>
              </c:strCache>
            </c:strRef>
          </c:cat>
          <c:val>
            <c:numRef>
              <c:f>'Fig 2.2'!$D$35:$F$35</c:f>
              <c:numCache>
                <c:formatCode>0.0%</c:formatCode>
                <c:ptCount val="3"/>
                <c:pt idx="0">
                  <c:v>4.6074550289960048E-2</c:v>
                </c:pt>
                <c:pt idx="1">
                  <c:v>0</c:v>
                </c:pt>
                <c:pt idx="2">
                  <c:v>1.7274949815693033E-5</c:v>
                </c:pt>
              </c:numCache>
            </c:numRef>
          </c:val>
        </c:ser>
        <c:ser>
          <c:idx val="1"/>
          <c:order val="1"/>
          <c:tx>
            <c:strRef>
              <c:f>'Fig 2.2'!$C$36</c:f>
              <c:strCache>
                <c:ptCount val="1"/>
                <c:pt idx="0">
                  <c:v>R0 to R60 000</c:v>
                </c:pt>
              </c:strCache>
            </c:strRef>
          </c:tx>
          <c:spPr>
            <a:solidFill>
              <a:schemeClr val="accent2">
                <a:lumMod val="40000"/>
                <a:lumOff val="60000"/>
              </a:schemeClr>
            </a:solidFill>
            <a:ln>
              <a:solidFill>
                <a:schemeClr val="tx1"/>
              </a:solidFill>
            </a:ln>
          </c:spPr>
          <c:cat>
            <c:strRef>
              <c:f>'Fig 2.2'!$D$34:$F$34</c:f>
              <c:strCache>
                <c:ptCount val="3"/>
                <c:pt idx="0">
                  <c:v>Number</c:v>
                </c:pt>
                <c:pt idx="1">
                  <c:v>Taxable income</c:v>
                </c:pt>
                <c:pt idx="2">
                  <c:v>Tax paid</c:v>
                </c:pt>
              </c:strCache>
            </c:strRef>
          </c:cat>
          <c:val>
            <c:numRef>
              <c:f>'Fig 2.2'!$D$36:$F$36</c:f>
              <c:numCache>
                <c:formatCode>0.0%</c:formatCode>
                <c:ptCount val="3"/>
                <c:pt idx="0">
                  <c:v>0.13787297476812482</c:v>
                </c:pt>
                <c:pt idx="1">
                  <c:v>2.3577785423134493E-2</c:v>
                </c:pt>
                <c:pt idx="2">
                  <c:v>1.6054069898863255E-4</c:v>
                </c:pt>
              </c:numCache>
            </c:numRef>
          </c:val>
        </c:ser>
        <c:ser>
          <c:idx val="2"/>
          <c:order val="2"/>
          <c:tx>
            <c:strRef>
              <c:f>'Fig 2.2'!$C$37</c:f>
              <c:strCache>
                <c:ptCount val="1"/>
                <c:pt idx="0">
                  <c:v>R60 000 to R120 000</c:v>
                </c:pt>
              </c:strCache>
            </c:strRef>
          </c:tx>
          <c:spPr>
            <a:solidFill>
              <a:srgbClr val="993300"/>
            </a:solidFill>
            <a:ln>
              <a:solidFill>
                <a:schemeClr val="tx1"/>
              </a:solidFill>
            </a:ln>
          </c:spPr>
          <c:cat>
            <c:strRef>
              <c:f>'Fig 2.2'!$D$34:$F$34</c:f>
              <c:strCache>
                <c:ptCount val="3"/>
                <c:pt idx="0">
                  <c:v>Number</c:v>
                </c:pt>
                <c:pt idx="1">
                  <c:v>Taxable income</c:v>
                </c:pt>
                <c:pt idx="2">
                  <c:v>Tax paid</c:v>
                </c:pt>
              </c:strCache>
            </c:strRef>
          </c:cat>
          <c:val>
            <c:numRef>
              <c:f>'Fig 2.2'!$D$37:$F$37</c:f>
              <c:numCache>
                <c:formatCode>0.0%</c:formatCode>
                <c:ptCount val="3"/>
                <c:pt idx="0">
                  <c:v>0.24038294007197483</c:v>
                </c:pt>
                <c:pt idx="1">
                  <c:v>0.10681140500274731</c:v>
                </c:pt>
                <c:pt idx="2">
                  <c:v>3.2431831583670856E-2</c:v>
                </c:pt>
              </c:numCache>
            </c:numRef>
          </c:val>
        </c:ser>
        <c:ser>
          <c:idx val="3"/>
          <c:order val="3"/>
          <c:tx>
            <c:strRef>
              <c:f>'Fig 2.2'!$C$38</c:f>
              <c:strCache>
                <c:ptCount val="1"/>
                <c:pt idx="0">
                  <c:v>R120 000 to R400 000</c:v>
                </c:pt>
              </c:strCache>
            </c:strRef>
          </c:tx>
          <c:spPr>
            <a:solidFill>
              <a:srgbClr val="004F87"/>
            </a:solidFill>
            <a:ln>
              <a:solidFill>
                <a:schemeClr val="tx1"/>
              </a:solidFill>
            </a:ln>
          </c:spPr>
          <c:cat>
            <c:strRef>
              <c:f>'Fig 2.2'!$D$34:$F$34</c:f>
              <c:strCache>
                <c:ptCount val="3"/>
                <c:pt idx="0">
                  <c:v>Number</c:v>
                </c:pt>
                <c:pt idx="1">
                  <c:v>Taxable income</c:v>
                </c:pt>
                <c:pt idx="2">
                  <c:v>Tax paid</c:v>
                </c:pt>
              </c:strCache>
            </c:strRef>
          </c:cat>
          <c:val>
            <c:numRef>
              <c:f>'Fig 2.2'!$D$38:$F$38</c:f>
              <c:numCache>
                <c:formatCode>0.0%</c:formatCode>
                <c:ptCount val="3"/>
                <c:pt idx="0">
                  <c:v>0.47833679587290046</c:v>
                </c:pt>
                <c:pt idx="1">
                  <c:v>0.50024800137078929</c:v>
                </c:pt>
                <c:pt idx="2">
                  <c:v>0.40105913956232692</c:v>
                </c:pt>
              </c:numCache>
            </c:numRef>
          </c:val>
        </c:ser>
        <c:ser>
          <c:idx val="4"/>
          <c:order val="4"/>
          <c:tx>
            <c:strRef>
              <c:f>'Fig 2.2'!$C$39</c:f>
              <c:strCache>
                <c:ptCount val="1"/>
                <c:pt idx="0">
                  <c:v>R400 000 +</c:v>
                </c:pt>
              </c:strCache>
            </c:strRef>
          </c:tx>
          <c:spPr>
            <a:solidFill>
              <a:srgbClr val="99CCFF"/>
            </a:solidFill>
            <a:ln>
              <a:solidFill>
                <a:schemeClr val="tx1"/>
              </a:solidFill>
            </a:ln>
          </c:spPr>
          <c:cat>
            <c:strRef>
              <c:f>'Fig 2.2'!$D$34:$F$34</c:f>
              <c:strCache>
                <c:ptCount val="3"/>
                <c:pt idx="0">
                  <c:v>Number</c:v>
                </c:pt>
                <c:pt idx="1">
                  <c:v>Taxable income</c:v>
                </c:pt>
                <c:pt idx="2">
                  <c:v>Tax paid</c:v>
                </c:pt>
              </c:strCache>
            </c:strRef>
          </c:cat>
          <c:val>
            <c:numRef>
              <c:f>'Fig 2.2'!$D$39:$F$39</c:f>
              <c:numCache>
                <c:formatCode>0.0%</c:formatCode>
                <c:ptCount val="3"/>
                <c:pt idx="0">
                  <c:v>9.7332738997039814E-2</c:v>
                </c:pt>
                <c:pt idx="1">
                  <c:v>0.36936280820332884</c:v>
                </c:pt>
                <c:pt idx="2">
                  <c:v>0.56633121320519797</c:v>
                </c:pt>
              </c:numCache>
            </c:numRef>
          </c:val>
        </c:ser>
        <c:gapWidth val="52"/>
        <c:overlap val="100"/>
        <c:axId val="134200320"/>
        <c:axId val="134513792"/>
      </c:barChart>
      <c:catAx>
        <c:axId val="134200320"/>
        <c:scaling>
          <c:orientation val="minMax"/>
        </c:scaling>
        <c:axPos val="b"/>
        <c:numFmt formatCode="General" sourceLinked="1"/>
        <c:tickLblPos val="nextTo"/>
        <c:spPr>
          <a:ln w="3175">
            <a:solidFill>
              <a:schemeClr val="tx1"/>
            </a:solidFill>
          </a:ln>
        </c:spPr>
        <c:crossAx val="134513792"/>
        <c:crosses val="autoZero"/>
        <c:auto val="1"/>
        <c:lblAlgn val="ctr"/>
        <c:lblOffset val="100"/>
      </c:catAx>
      <c:valAx>
        <c:axId val="134513792"/>
        <c:scaling>
          <c:orientation val="minMax"/>
          <c:max val="1"/>
          <c:min val="0"/>
        </c:scaling>
        <c:axPos val="l"/>
        <c:numFmt formatCode="0%" sourceLinked="0"/>
        <c:tickLblPos val="nextTo"/>
        <c:spPr>
          <a:ln w="3175">
            <a:solidFill>
              <a:schemeClr val="tx1"/>
            </a:solidFill>
          </a:ln>
        </c:spPr>
        <c:crossAx val="134200320"/>
        <c:crosses val="autoZero"/>
        <c:crossBetween val="between"/>
        <c:majorUnit val="0.2"/>
      </c:valAx>
      <c:spPr>
        <a:ln w="3175">
          <a:solidFill>
            <a:schemeClr val="tx1"/>
          </a:solidFill>
        </a:ln>
      </c:spPr>
    </c:plotArea>
    <c:legend>
      <c:legendPos val="b"/>
      <c:layout>
        <c:manualLayout>
          <c:xMode val="edge"/>
          <c:yMode val="edge"/>
          <c:x val="3.405490637428598E-2"/>
          <c:y val="0.93334744907130696"/>
          <c:w val="0.93189018725142803"/>
          <c:h val="4.7467903480578492E-2"/>
        </c:manualLayout>
      </c:layout>
      <c:txPr>
        <a:bodyPr/>
        <a:lstStyle/>
        <a:p>
          <a:pPr>
            <a:defRPr sz="800"/>
          </a:pPr>
          <a:endParaRPr lang="en-US"/>
        </a:p>
      </c:txPr>
    </c:legend>
    <c:plotVisOnly val="1"/>
    <c:dispBlanksAs val="gap"/>
  </c:chart>
  <c:spPr>
    <a:ln w="3175">
      <a:solidFill>
        <a:schemeClr val="tx1"/>
      </a:solidFill>
    </a:ln>
  </c:spPr>
  <c:txPr>
    <a:bodyPr/>
    <a:lstStyle/>
    <a:p>
      <a:pPr>
        <a:defRPr sz="800">
          <a:latin typeface="Arial" pitchFamily="34" charset="0"/>
          <a:cs typeface="Arial" pitchFamily="34" charset="0"/>
        </a:defRPr>
      </a:pPr>
      <a:endParaRPr lang="en-US"/>
    </a:p>
  </c:txPr>
  <c:printSettings>
    <c:headerFooter/>
    <c:pageMargins b="0.75000000000000377" l="0.70000000000000062" r="0.70000000000000062" t="0.750000000000003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ZA"/>
  <c:chart>
    <c:plotArea>
      <c:layout>
        <c:manualLayout>
          <c:layoutTarget val="inner"/>
          <c:xMode val="edge"/>
          <c:yMode val="edge"/>
          <c:x val="0.12872987236338487"/>
          <c:y val="4.4510450248128788E-2"/>
          <c:w val="0.85243948360845723"/>
          <c:h val="0.67211897995503789"/>
        </c:manualLayout>
      </c:layout>
      <c:barChart>
        <c:barDir val="col"/>
        <c:grouping val="clustered"/>
        <c:ser>
          <c:idx val="3"/>
          <c:order val="0"/>
          <c:tx>
            <c:strRef>
              <c:f>'Fig 2.3'!$C$27</c:f>
              <c:strCache>
                <c:ptCount val="1"/>
                <c:pt idx="0">
                  <c:v>2008</c:v>
                </c:pt>
              </c:strCache>
            </c:strRef>
          </c:tx>
          <c:spPr>
            <a:solidFill>
              <a:srgbClr val="993300"/>
            </a:solidFill>
            <a:ln w="12700">
              <a:solidFill>
                <a:srgbClr val="000000"/>
              </a:solidFill>
              <a:prstDash val="solid"/>
            </a:ln>
          </c:spPr>
          <c:cat>
            <c:strRef>
              <c:f>'Fig 2.3'!$B$40:$B$48</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'Fig 2.3'!$C$40:$C$48</c:f>
              <c:numCache>
                <c:formatCode>0.0%</c:formatCode>
                <c:ptCount val="9"/>
                <c:pt idx="0">
                  <c:v>7.945686283402506E-2</c:v>
                </c:pt>
                <c:pt idx="1">
                  <c:v>4.4257525227182272E-2</c:v>
                </c:pt>
                <c:pt idx="2">
                  <c:v>0.40592123021969906</c:v>
                </c:pt>
                <c:pt idx="3">
                  <c:v>0.15266401518614892</c:v>
                </c:pt>
                <c:pt idx="4">
                  <c:v>4.0615721020723798E-2</c:v>
                </c:pt>
                <c:pt idx="5">
                  <c:v>4.8830637914780907E-2</c:v>
                </c:pt>
                <c:pt idx="6">
                  <c:v>4.1195363538933424E-2</c:v>
                </c:pt>
                <c:pt idx="7">
                  <c:v>1.4892204681231782E-2</c:v>
                </c:pt>
                <c:pt idx="8">
                  <c:v>0.17216643937727477</c:v>
                </c:pt>
              </c:numCache>
            </c:numRef>
          </c:val>
        </c:ser>
        <c:ser>
          <c:idx val="4"/>
          <c:order val="1"/>
          <c:tx>
            <c:strRef>
              <c:f>'Fig 2.3'!$D$27</c:f>
              <c:strCache>
                <c:ptCount val="1"/>
                <c:pt idx="0">
                  <c:v>2009</c:v>
                </c:pt>
              </c:strCache>
            </c:strRef>
          </c:tx>
          <c:spPr>
            <a:solidFill>
              <a:schemeClr val="bg1">
                <a:lumMod val="65000"/>
              </a:schemeClr>
            </a:solidFill>
            <a:ln>
              <a:solidFill>
                <a:srgbClr val="000000"/>
              </a:solidFill>
            </a:ln>
          </c:spPr>
          <c:cat>
            <c:strRef>
              <c:f>'Fig 2.3'!$B$40:$B$48</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'Fig 2.3'!$D$40:$D$48</c:f>
              <c:numCache>
                <c:formatCode>0.0%</c:formatCode>
                <c:ptCount val="9"/>
                <c:pt idx="0">
                  <c:v>8.0299393245916048E-2</c:v>
                </c:pt>
                <c:pt idx="1">
                  <c:v>4.4786373743413217E-2</c:v>
                </c:pt>
                <c:pt idx="2">
                  <c:v>0.4041152771679169</c:v>
                </c:pt>
                <c:pt idx="3">
                  <c:v>0.15166816087296939</c:v>
                </c:pt>
                <c:pt idx="4">
                  <c:v>4.1390306367716817E-2</c:v>
                </c:pt>
                <c:pt idx="5">
                  <c:v>5.0788309764236643E-2</c:v>
                </c:pt>
                <c:pt idx="6">
                  <c:v>4.2458533795643703E-2</c:v>
                </c:pt>
                <c:pt idx="7">
                  <c:v>1.5490428822504353E-2</c:v>
                </c:pt>
                <c:pt idx="8">
                  <c:v>0.16900321621968295</c:v>
                </c:pt>
              </c:numCache>
            </c:numRef>
          </c:val>
        </c:ser>
        <c:ser>
          <c:idx val="0"/>
          <c:order val="2"/>
          <c:tx>
            <c:strRef>
              <c:f>'Fig 2.3'!$E$27</c:f>
              <c:strCache>
                <c:ptCount val="1"/>
                <c:pt idx="0">
                  <c:v>2010</c:v>
                </c:pt>
              </c:strCache>
            </c:strRef>
          </c:tx>
          <c:spPr>
            <a:solidFill>
              <a:schemeClr val="tx2"/>
            </a:solidFill>
            <a:ln>
              <a:solidFill>
                <a:srgbClr val="000000"/>
              </a:solidFill>
            </a:ln>
          </c:spPr>
          <c:cat>
            <c:strRef>
              <c:f>'Fig 2.3'!$B$40:$B$48</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'Fig 2.3'!$E$40:$E$48</c:f>
              <c:numCache>
                <c:formatCode>0.0%</c:formatCode>
                <c:ptCount val="9"/>
                <c:pt idx="0">
                  <c:v>8.0973598320783491E-2</c:v>
                </c:pt>
                <c:pt idx="1">
                  <c:v>4.4405312749276421E-2</c:v>
                </c:pt>
                <c:pt idx="2">
                  <c:v>0.40176232228506414</c:v>
                </c:pt>
                <c:pt idx="3">
                  <c:v>0.15134804763596793</c:v>
                </c:pt>
                <c:pt idx="4">
                  <c:v>4.3606319441581547E-2</c:v>
                </c:pt>
                <c:pt idx="5">
                  <c:v>5.2751880840716331E-2</c:v>
                </c:pt>
                <c:pt idx="6">
                  <c:v>4.4067872769204361E-2</c:v>
                </c:pt>
                <c:pt idx="7">
                  <c:v>1.6076713827557484E-2</c:v>
                </c:pt>
                <c:pt idx="8">
                  <c:v>0.16500793212984829</c:v>
                </c:pt>
              </c:numCache>
            </c:numRef>
          </c:val>
        </c:ser>
        <c:ser>
          <c:idx val="1"/>
          <c:order val="3"/>
          <c:tx>
            <c:strRef>
              <c:f>'Fig 2.3'!$F$27</c:f>
              <c:strCache>
                <c:ptCount val="1"/>
                <c:pt idx="0">
                  <c:v>2011</c:v>
                </c:pt>
              </c:strCache>
            </c:strRef>
          </c:tx>
          <c:spPr>
            <a:solidFill>
              <a:schemeClr val="tx2">
                <a:lumMod val="40000"/>
                <a:lumOff val="60000"/>
              </a:schemeClr>
            </a:solidFill>
            <a:ln>
              <a:solidFill>
                <a:srgbClr val="000000"/>
              </a:solidFill>
            </a:ln>
          </c:spPr>
          <c:cat>
            <c:strRef>
              <c:f>'Fig 2.3'!$B$40:$B$48</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'Fig 2.3'!$F$40:$F$48</c:f>
              <c:numCache>
                <c:formatCode>0.0%</c:formatCode>
                <c:ptCount val="9"/>
                <c:pt idx="0">
                  <c:v>8.1144813752517309E-2</c:v>
                </c:pt>
                <c:pt idx="1">
                  <c:v>4.4303923415523319E-2</c:v>
                </c:pt>
                <c:pt idx="2">
                  <c:v>0.40242912849249962</c:v>
                </c:pt>
                <c:pt idx="3">
                  <c:v>0.14810537617861222</c:v>
                </c:pt>
                <c:pt idx="4">
                  <c:v>4.5737582837831983E-2</c:v>
                </c:pt>
                <c:pt idx="5">
                  <c:v>5.6295675230592757E-2</c:v>
                </c:pt>
                <c:pt idx="6">
                  <c:v>4.4892953134991281E-2</c:v>
                </c:pt>
                <c:pt idx="7">
                  <c:v>1.657994840241166E-2</c:v>
                </c:pt>
                <c:pt idx="8">
                  <c:v>0.1605105985550199</c:v>
                </c:pt>
              </c:numCache>
            </c:numRef>
          </c:val>
        </c:ser>
        <c:axId val="148540416"/>
        <c:axId val="175067904"/>
      </c:barChart>
      <c:catAx>
        <c:axId val="148540416"/>
        <c:scaling>
          <c:orientation val="minMax"/>
        </c:scaling>
        <c:axPos val="b"/>
        <c:numFmt formatCode="General" sourceLinked="1"/>
        <c:tickLblPos val="nextTo"/>
        <c:spPr>
          <a:ln w="3175">
            <a:solidFill>
              <a:srgbClr val="000000"/>
            </a:solidFill>
            <a:prstDash val="solid"/>
          </a:ln>
        </c:spPr>
        <c:txPr>
          <a:bodyPr rot="-5400000" vert="horz"/>
          <a:lstStyle/>
          <a:p>
            <a:pPr>
              <a:defRPr sz="700"/>
            </a:pPr>
            <a:endParaRPr lang="en-US"/>
          </a:p>
        </c:txPr>
        <c:crossAx val="175067904"/>
        <c:crosses val="autoZero"/>
        <c:auto val="1"/>
        <c:lblAlgn val="ctr"/>
        <c:lblOffset val="100"/>
        <c:tickLblSkip val="1"/>
        <c:tickMarkSkip val="1"/>
      </c:catAx>
      <c:valAx>
        <c:axId val="175067904"/>
        <c:scaling>
          <c:orientation val="minMax"/>
          <c:max val="0.45"/>
        </c:scaling>
        <c:axPos val="l"/>
        <c:title>
          <c:tx>
            <c:rich>
              <a:bodyPr/>
              <a:lstStyle/>
              <a:p>
                <a:pPr>
                  <a:defRPr b="1"/>
                </a:pPr>
                <a:r>
                  <a:rPr lang="en-US" b="1"/>
                  <a:t>Percentage number of taxpayers</a:t>
                </a:r>
              </a:p>
            </c:rich>
          </c:tx>
          <c:layout>
            <c:manualLayout>
              <c:xMode val="edge"/>
              <c:yMode val="edge"/>
              <c:x val="9.4161958568738727E-3"/>
              <c:y val="0.26112790797293939"/>
            </c:manualLayout>
          </c:layout>
          <c:spPr>
            <a:noFill/>
            <a:ln w="25400">
              <a:noFill/>
            </a:ln>
          </c:spPr>
        </c:title>
        <c:numFmt formatCode="0%" sourceLinked="0"/>
        <c:tickLblPos val="nextTo"/>
        <c:spPr>
          <a:ln w="3175">
            <a:solidFill>
              <a:srgbClr val="000000"/>
            </a:solidFill>
            <a:prstDash val="solid"/>
          </a:ln>
        </c:spPr>
        <c:txPr>
          <a:bodyPr rot="0" vert="horz"/>
          <a:lstStyle/>
          <a:p>
            <a:pPr>
              <a:defRPr/>
            </a:pPr>
            <a:endParaRPr lang="en-US"/>
          </a:p>
        </c:txPr>
        <c:crossAx val="148540416"/>
        <c:crosses val="autoZero"/>
        <c:crossBetween val="between"/>
      </c:valAx>
      <c:spPr>
        <a:noFill/>
        <a:ln w="3175">
          <a:solidFill>
            <a:sysClr val="windowText" lastClr="000000"/>
          </a:solidFill>
        </a:ln>
      </c:spPr>
    </c:plotArea>
    <c:legend>
      <c:legendPos val="b"/>
      <c:layout>
        <c:manualLayout>
          <c:xMode val="edge"/>
          <c:yMode val="edge"/>
          <c:x val="0.1116543276240541"/>
          <c:y val="0.92979304152610864"/>
          <c:w val="0.85378767696865165"/>
          <c:h val="5.8052887897683605E-2"/>
        </c:manualLayout>
      </c:layout>
      <c:spPr>
        <a:solidFill>
          <a:srgbClr val="FFFFFF"/>
        </a:solidFill>
        <a:ln w="3175">
          <a:noFill/>
          <a:prstDash val="solid"/>
        </a:ln>
      </c:spPr>
    </c:legend>
    <c:plotVisOnly val="1"/>
    <c:dispBlanksAs val="gap"/>
  </c:chart>
  <c:spPr>
    <a:noFill/>
    <a:ln w="3175">
      <a:solidFill>
        <a:schemeClr val="tx1"/>
      </a:solidFill>
      <a:prstDash val="solid"/>
    </a:ln>
  </c:spPr>
  <c:txPr>
    <a:bodyPr/>
    <a:lstStyle/>
    <a:p>
      <a:pPr>
        <a:defRPr sz="800" b="0" i="0" u="none" strike="noStrike" baseline="0">
          <a:solidFill>
            <a:srgbClr val="000000"/>
          </a:solidFill>
          <a:latin typeface="Arial" pitchFamily="34" charset="0"/>
          <a:ea typeface="Arial"/>
          <a:cs typeface="Arial" pitchFamily="34" charset="0"/>
        </a:defRPr>
      </a:pPr>
      <a:endParaRPr lang="en-US"/>
    </a:p>
  </c:txPr>
  <c:printSettings>
    <c:headerFooter alignWithMargins="0"/>
    <c:pageMargins b="1" l="0.75000000000001465" r="0.7500000000000146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ZA"/>
  <c:chart>
    <c:plotArea>
      <c:layout>
        <c:manualLayout>
          <c:layoutTarget val="inner"/>
          <c:xMode val="edge"/>
          <c:yMode val="edge"/>
          <c:x val="0.12872987236338487"/>
          <c:y val="4.4510450248128705E-2"/>
          <c:w val="0.85243948360845678"/>
          <c:h val="0.75280839895013163"/>
        </c:manualLayout>
      </c:layout>
      <c:barChart>
        <c:barDir val="col"/>
        <c:grouping val="clustered"/>
        <c:ser>
          <c:idx val="3"/>
          <c:order val="0"/>
          <c:tx>
            <c:strRef>
              <c:f>'Fig 2.4'!$C$26</c:f>
              <c:strCache>
                <c:ptCount val="1"/>
                <c:pt idx="0">
                  <c:v>2008</c:v>
                </c:pt>
              </c:strCache>
            </c:strRef>
          </c:tx>
          <c:spPr>
            <a:solidFill>
              <a:srgbClr val="993300"/>
            </a:solidFill>
            <a:ln w="12700">
              <a:solidFill>
                <a:srgbClr val="000000"/>
              </a:solidFill>
              <a:prstDash val="solid"/>
            </a:ln>
          </c:spPr>
          <c:cat>
            <c:strRef>
              <c:f>'Fig 2.4'!$B$38:$B$45</c:f>
              <c:strCache>
                <c:ptCount val="8"/>
                <c:pt idx="0">
                  <c:v>Below 18</c:v>
                </c:pt>
                <c:pt idx="1">
                  <c:v>18 - 24</c:v>
                </c:pt>
                <c:pt idx="2">
                  <c:v>25 - 34</c:v>
                </c:pt>
                <c:pt idx="3">
                  <c:v>35 - 44</c:v>
                </c:pt>
                <c:pt idx="4">
                  <c:v>45 - 54</c:v>
                </c:pt>
                <c:pt idx="5">
                  <c:v>55 - 64</c:v>
                </c:pt>
                <c:pt idx="6">
                  <c:v>65 - 74</c:v>
                </c:pt>
                <c:pt idx="7">
                  <c:v>75 and older</c:v>
                </c:pt>
              </c:strCache>
            </c:strRef>
          </c:cat>
          <c:val>
            <c:numRef>
              <c:f>'Fig 2.4'!$C$38:$C$45</c:f>
              <c:numCache>
                <c:formatCode>0.0%</c:formatCode>
                <c:ptCount val="8"/>
                <c:pt idx="0">
                  <c:v>4.608521812141983E-3</c:v>
                </c:pt>
                <c:pt idx="1">
                  <c:v>3.378588296411237E-2</c:v>
                </c:pt>
                <c:pt idx="2">
                  <c:v>0.22694969066734316</c:v>
                </c:pt>
                <c:pt idx="3">
                  <c:v>0.2866206137856453</c:v>
                </c:pt>
                <c:pt idx="4">
                  <c:v>0.23282857545454039</c:v>
                </c:pt>
                <c:pt idx="5">
                  <c:v>0.1347710084639934</c:v>
                </c:pt>
                <c:pt idx="6">
                  <c:v>5.4498038067719225E-2</c:v>
                </c:pt>
                <c:pt idx="7">
                  <c:v>2.5937668784504191E-2</c:v>
                </c:pt>
              </c:numCache>
            </c:numRef>
          </c:val>
        </c:ser>
        <c:ser>
          <c:idx val="4"/>
          <c:order val="1"/>
          <c:tx>
            <c:strRef>
              <c:f>'Fig 2.4'!$D$26</c:f>
              <c:strCache>
                <c:ptCount val="1"/>
                <c:pt idx="0">
                  <c:v>2009</c:v>
                </c:pt>
              </c:strCache>
            </c:strRef>
          </c:tx>
          <c:spPr>
            <a:solidFill>
              <a:schemeClr val="bg1">
                <a:lumMod val="65000"/>
              </a:schemeClr>
            </a:solidFill>
            <a:ln>
              <a:solidFill>
                <a:srgbClr val="000000"/>
              </a:solidFill>
            </a:ln>
          </c:spPr>
          <c:cat>
            <c:strRef>
              <c:f>'Fig 2.4'!$B$38:$B$45</c:f>
              <c:strCache>
                <c:ptCount val="8"/>
                <c:pt idx="0">
                  <c:v>Below 18</c:v>
                </c:pt>
                <c:pt idx="1">
                  <c:v>18 - 24</c:v>
                </c:pt>
                <c:pt idx="2">
                  <c:v>25 - 34</c:v>
                </c:pt>
                <c:pt idx="3">
                  <c:v>35 - 44</c:v>
                </c:pt>
                <c:pt idx="4">
                  <c:v>45 - 54</c:v>
                </c:pt>
                <c:pt idx="5">
                  <c:v>55 - 64</c:v>
                </c:pt>
                <c:pt idx="6">
                  <c:v>65 - 74</c:v>
                </c:pt>
                <c:pt idx="7">
                  <c:v>75 and older</c:v>
                </c:pt>
              </c:strCache>
            </c:strRef>
          </c:cat>
          <c:val>
            <c:numRef>
              <c:f>'Fig 2.4'!$D$38:$D$45</c:f>
              <c:numCache>
                <c:formatCode>0.0%</c:formatCode>
                <c:ptCount val="8"/>
                <c:pt idx="0">
                  <c:v>4.3507306001460948E-3</c:v>
                </c:pt>
                <c:pt idx="1">
                  <c:v>3.4216080103031239E-2</c:v>
                </c:pt>
                <c:pt idx="2">
                  <c:v>0.23256274818133263</c:v>
                </c:pt>
                <c:pt idx="3">
                  <c:v>0.28345353719691424</c:v>
                </c:pt>
                <c:pt idx="4">
                  <c:v>0.23113573026194195</c:v>
                </c:pt>
                <c:pt idx="5">
                  <c:v>0.13489956920256438</c:v>
                </c:pt>
                <c:pt idx="6">
                  <c:v>5.3892775031801371E-2</c:v>
                </c:pt>
                <c:pt idx="7">
                  <c:v>2.5488829422268131E-2</c:v>
                </c:pt>
              </c:numCache>
            </c:numRef>
          </c:val>
        </c:ser>
        <c:ser>
          <c:idx val="0"/>
          <c:order val="2"/>
          <c:tx>
            <c:strRef>
              <c:f>'Fig 2.4'!$E$26</c:f>
              <c:strCache>
                <c:ptCount val="1"/>
                <c:pt idx="0">
                  <c:v>2010</c:v>
                </c:pt>
              </c:strCache>
            </c:strRef>
          </c:tx>
          <c:spPr>
            <a:solidFill>
              <a:schemeClr val="tx2"/>
            </a:solidFill>
            <a:ln>
              <a:solidFill>
                <a:srgbClr val="000000"/>
              </a:solidFill>
            </a:ln>
          </c:spPr>
          <c:cat>
            <c:strRef>
              <c:f>'Fig 2.4'!$B$38:$B$45</c:f>
              <c:strCache>
                <c:ptCount val="8"/>
                <c:pt idx="0">
                  <c:v>Below 18</c:v>
                </c:pt>
                <c:pt idx="1">
                  <c:v>18 - 24</c:v>
                </c:pt>
                <c:pt idx="2">
                  <c:v>25 - 34</c:v>
                </c:pt>
                <c:pt idx="3">
                  <c:v>35 - 44</c:v>
                </c:pt>
                <c:pt idx="4">
                  <c:v>45 - 54</c:v>
                </c:pt>
                <c:pt idx="5">
                  <c:v>55 - 64</c:v>
                </c:pt>
                <c:pt idx="6">
                  <c:v>65 - 74</c:v>
                </c:pt>
                <c:pt idx="7">
                  <c:v>75 and older</c:v>
                </c:pt>
              </c:strCache>
            </c:strRef>
          </c:cat>
          <c:val>
            <c:numRef>
              <c:f>'Fig 2.4'!$E$38:$E$45</c:f>
              <c:numCache>
                <c:formatCode>0.0%</c:formatCode>
                <c:ptCount val="8"/>
                <c:pt idx="0">
                  <c:v>4.1323855348838123E-3</c:v>
                </c:pt>
                <c:pt idx="1">
                  <c:v>3.3305347845651853E-2</c:v>
                </c:pt>
                <c:pt idx="2">
                  <c:v>0.23783083896042312</c:v>
                </c:pt>
                <c:pt idx="3">
                  <c:v>0.2793250502397307</c:v>
                </c:pt>
                <c:pt idx="4">
                  <c:v>0.22863336371820031</c:v>
                </c:pt>
                <c:pt idx="5">
                  <c:v>0.136433069641548</c:v>
                </c:pt>
                <c:pt idx="6">
                  <c:v>5.4542035925688168E-2</c:v>
                </c:pt>
                <c:pt idx="7">
                  <c:v>2.5797908133874021E-2</c:v>
                </c:pt>
              </c:numCache>
            </c:numRef>
          </c:val>
        </c:ser>
        <c:ser>
          <c:idx val="1"/>
          <c:order val="3"/>
          <c:tx>
            <c:strRef>
              <c:f>'Fig 2.4'!$F$26</c:f>
              <c:strCache>
                <c:ptCount val="1"/>
                <c:pt idx="0">
                  <c:v>2011</c:v>
                </c:pt>
              </c:strCache>
            </c:strRef>
          </c:tx>
          <c:spPr>
            <a:solidFill>
              <a:schemeClr val="tx2">
                <a:lumMod val="40000"/>
                <a:lumOff val="60000"/>
              </a:schemeClr>
            </a:solidFill>
            <a:ln>
              <a:solidFill>
                <a:srgbClr val="000000"/>
              </a:solidFill>
            </a:ln>
          </c:spPr>
          <c:cat>
            <c:strRef>
              <c:f>'Fig 2.4'!$B$38:$B$45</c:f>
              <c:strCache>
                <c:ptCount val="8"/>
                <c:pt idx="0">
                  <c:v>Below 18</c:v>
                </c:pt>
                <c:pt idx="1">
                  <c:v>18 - 24</c:v>
                </c:pt>
                <c:pt idx="2">
                  <c:v>25 - 34</c:v>
                </c:pt>
                <c:pt idx="3">
                  <c:v>35 - 44</c:v>
                </c:pt>
                <c:pt idx="4">
                  <c:v>45 - 54</c:v>
                </c:pt>
                <c:pt idx="5">
                  <c:v>55 - 64</c:v>
                </c:pt>
                <c:pt idx="6">
                  <c:v>65 - 74</c:v>
                </c:pt>
                <c:pt idx="7">
                  <c:v>75 and older</c:v>
                </c:pt>
              </c:strCache>
            </c:strRef>
          </c:cat>
          <c:val>
            <c:numRef>
              <c:f>'Fig 2.4'!$F$38:$F$45</c:f>
              <c:numCache>
                <c:formatCode>0.0%</c:formatCode>
                <c:ptCount val="8"/>
                <c:pt idx="0">
                  <c:v>3.8791056300097374E-3</c:v>
                </c:pt>
                <c:pt idx="1">
                  <c:v>3.539750219559501E-2</c:v>
                </c:pt>
                <c:pt idx="2">
                  <c:v>0.24758572991483832</c:v>
                </c:pt>
                <c:pt idx="3">
                  <c:v>0.27538289142837941</c:v>
                </c:pt>
                <c:pt idx="4">
                  <c:v>0.22283321526206074</c:v>
                </c:pt>
                <c:pt idx="5">
                  <c:v>0.13395782865603054</c:v>
                </c:pt>
                <c:pt idx="6">
                  <c:v>5.4494756662624828E-2</c:v>
                </c:pt>
                <c:pt idx="7">
                  <c:v>2.6468970250461452E-2</c:v>
                </c:pt>
              </c:numCache>
            </c:numRef>
          </c:val>
        </c:ser>
        <c:axId val="175387008"/>
        <c:axId val="175389312"/>
      </c:barChart>
      <c:catAx>
        <c:axId val="175387008"/>
        <c:scaling>
          <c:orientation val="minMax"/>
        </c:scaling>
        <c:axPos val="b"/>
        <c:title>
          <c:tx>
            <c:rich>
              <a:bodyPr/>
              <a:lstStyle/>
              <a:p>
                <a:pPr>
                  <a:defRPr lang="en-US" sz="800" b="1" i="0" u="none" strike="noStrike" baseline="0">
                    <a:solidFill>
                      <a:srgbClr val="000000"/>
                    </a:solidFill>
                    <a:latin typeface="ARIAL"/>
                    <a:ea typeface="ARIAL"/>
                    <a:cs typeface="ARIAL"/>
                  </a:defRPr>
                </a:pPr>
                <a:r>
                  <a:rPr lang="en-US"/>
                  <a:t>Age group</a:t>
                </a:r>
              </a:p>
            </c:rich>
          </c:tx>
          <c:layout>
            <c:manualLayout>
              <c:xMode val="edge"/>
              <c:yMode val="edge"/>
              <c:x val="0.50847556484817935"/>
              <c:y val="0.92581726987390656"/>
            </c:manualLayout>
          </c:layout>
          <c:spPr>
            <a:noFill/>
            <a:ln w="25400">
              <a:noFill/>
            </a:ln>
          </c:spPr>
        </c:title>
        <c:numFmt formatCode="General" sourceLinked="1"/>
        <c:tickLblPos val="nextTo"/>
        <c:spPr>
          <a:ln w="3175">
            <a:solidFill>
              <a:srgbClr val="000000"/>
            </a:solidFill>
            <a:prstDash val="solid"/>
          </a:ln>
        </c:spPr>
        <c:txPr>
          <a:bodyPr rot="0" vert="horz"/>
          <a:lstStyle/>
          <a:p>
            <a:pPr>
              <a:defRPr lang="en-US" sz="800" b="0" i="0" u="none" strike="noStrike" baseline="0">
                <a:solidFill>
                  <a:sysClr val="windowText" lastClr="000000"/>
                </a:solidFill>
                <a:latin typeface="Arial"/>
                <a:ea typeface="Arial"/>
                <a:cs typeface="Arial"/>
              </a:defRPr>
            </a:pPr>
            <a:endParaRPr lang="en-US"/>
          </a:p>
        </c:txPr>
        <c:crossAx val="175389312"/>
        <c:crosses val="autoZero"/>
        <c:auto val="1"/>
        <c:lblAlgn val="ctr"/>
        <c:lblOffset val="100"/>
        <c:tickLblSkip val="1"/>
        <c:tickMarkSkip val="1"/>
      </c:catAx>
      <c:valAx>
        <c:axId val="175389312"/>
        <c:scaling>
          <c:orientation val="minMax"/>
          <c:max val="0.30000000000000032"/>
        </c:scaling>
        <c:axPos val="l"/>
        <c:title>
          <c:tx>
            <c:rich>
              <a:bodyPr/>
              <a:lstStyle/>
              <a:p>
                <a:pPr>
                  <a:defRPr lang="en-US" sz="800" b="1" i="0" u="none" strike="noStrike" baseline="0">
                    <a:solidFill>
                      <a:srgbClr val="000000"/>
                    </a:solidFill>
                    <a:latin typeface="ARIAL"/>
                    <a:ea typeface="ARIAL"/>
                    <a:cs typeface="ARIAL"/>
                  </a:defRPr>
                </a:pPr>
                <a:r>
                  <a:rPr lang="en-US"/>
                  <a:t>Percentage number of taxpayers</a:t>
                </a:r>
              </a:p>
            </c:rich>
          </c:tx>
          <c:layout>
            <c:manualLayout>
              <c:xMode val="edge"/>
              <c:yMode val="edge"/>
              <c:x val="9.4161958568738727E-3"/>
              <c:y val="0.26112790797293917"/>
            </c:manualLayout>
          </c:layout>
          <c:spPr>
            <a:noFill/>
            <a:ln w="25400">
              <a:noFill/>
            </a:ln>
          </c:spPr>
        </c:title>
        <c:numFmt formatCode="0%" sourceLinked="0"/>
        <c:tickLblPos val="nextTo"/>
        <c:spPr>
          <a:ln w="3175">
            <a:solidFill>
              <a:srgbClr val="000000"/>
            </a:solidFill>
            <a:prstDash val="solid"/>
          </a:ln>
        </c:spPr>
        <c:txPr>
          <a:bodyPr rot="0" vert="horz"/>
          <a:lstStyle/>
          <a:p>
            <a:pPr>
              <a:defRPr lang="en-US" sz="800" b="0" i="0" u="none" strike="noStrike" baseline="0">
                <a:solidFill>
                  <a:srgbClr val="000000"/>
                </a:solidFill>
                <a:latin typeface="Arial"/>
                <a:ea typeface="Arial"/>
                <a:cs typeface="Arial"/>
              </a:defRPr>
            </a:pPr>
            <a:endParaRPr lang="en-US"/>
          </a:p>
        </c:txPr>
        <c:crossAx val="175387008"/>
        <c:crosses val="autoZero"/>
        <c:crossBetween val="between"/>
      </c:valAx>
      <c:spPr>
        <a:noFill/>
        <a:ln w="3175">
          <a:solidFill>
            <a:sysClr val="windowText" lastClr="000000"/>
          </a:solidFill>
        </a:ln>
      </c:spPr>
    </c:plotArea>
    <c:legend>
      <c:legendPos val="b"/>
      <c:layout>
        <c:manualLayout>
          <c:xMode val="edge"/>
          <c:yMode val="edge"/>
          <c:x val="0.12307047272196103"/>
          <c:y val="0.9167899767246076"/>
          <c:w val="0.85378767696865165"/>
          <c:h val="5.805279057098995E-2"/>
        </c:manualLayout>
      </c:layout>
      <c:spPr>
        <a:solidFill>
          <a:srgbClr val="FFFFFF"/>
        </a:solidFill>
        <a:ln w="3175">
          <a:noFill/>
          <a:prstDash val="solid"/>
        </a:ln>
      </c:spPr>
      <c:txPr>
        <a:bodyPr/>
        <a:lstStyle/>
        <a:p>
          <a:pPr>
            <a:defRPr lang="en-US" sz="800" b="0" i="0" u="none" strike="noStrike" baseline="0">
              <a:solidFill>
                <a:srgbClr val="000000"/>
              </a:solidFill>
              <a:latin typeface="Arial"/>
              <a:ea typeface="Arial"/>
              <a:cs typeface="Arial"/>
            </a:defRPr>
          </a:pPr>
          <a:endParaRPr lang="en-US"/>
        </a:p>
      </c:txPr>
    </c:legend>
    <c:plotVisOnly val="1"/>
    <c:dispBlanksAs val="gap"/>
  </c:chart>
  <c:spPr>
    <a:no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ZA"/>
  <c:chart>
    <c:autoTitleDeleted val="1"/>
    <c:plotArea>
      <c:layout>
        <c:manualLayout>
          <c:layoutTarget val="inner"/>
          <c:xMode val="edge"/>
          <c:yMode val="edge"/>
          <c:x val="0.22987074389673892"/>
          <c:y val="2.7210884353741478E-2"/>
          <c:w val="0.73605400352355077"/>
          <c:h val="0.87623707750818736"/>
        </c:manualLayout>
      </c:layout>
      <c:barChart>
        <c:barDir val="bar"/>
        <c:grouping val="clustered"/>
        <c:ser>
          <c:idx val="0"/>
          <c:order val="0"/>
          <c:tx>
            <c:strRef>
              <c:f>'Fig 2.5'!$G$28</c:f>
              <c:strCache>
                <c:ptCount val="1"/>
                <c:pt idx="0">
                  <c:v>%Female</c:v>
                </c:pt>
              </c:strCache>
            </c:strRef>
          </c:tx>
          <c:spPr>
            <a:solidFill>
              <a:srgbClr val="991F00"/>
            </a:solidFill>
            <a:ln>
              <a:solidFill>
                <a:schemeClr val="tx1"/>
              </a:solidFill>
            </a:ln>
          </c:spPr>
          <c:cat>
            <c:strRef>
              <c:f>'Fig 2.5'!$C$29:$C$53</c:f>
              <c:strCache>
                <c:ptCount val="25"/>
                <c:pt idx="0">
                  <c:v>&lt; 0</c:v>
                </c:pt>
                <c:pt idx="1">
                  <c:v>= 0</c:v>
                </c:pt>
                <c:pt idx="2">
                  <c:v>1 – 20 000</c:v>
                </c:pt>
                <c:pt idx="3">
                  <c:v>20 001 – 30 000</c:v>
                </c:pt>
                <c:pt idx="4">
                  <c:v>30 001 – 40 000</c:v>
                </c:pt>
                <c:pt idx="5">
                  <c:v>40 001 – 50 000</c:v>
                </c:pt>
                <c:pt idx="6">
                  <c:v>50 001 – 60 000</c:v>
                </c:pt>
                <c:pt idx="7">
                  <c:v>60 001 – 70 000</c:v>
                </c:pt>
                <c:pt idx="8">
                  <c:v>70 001 – 80 000</c:v>
                </c:pt>
                <c:pt idx="9">
                  <c:v>80 001 – 90 000</c:v>
                </c:pt>
                <c:pt idx="10">
                  <c:v>90 000 – 100 000</c:v>
                </c:pt>
                <c:pt idx="11">
                  <c:v>100 001 – 110 000</c:v>
                </c:pt>
                <c:pt idx="12">
                  <c:v>110 001 – 120 000</c:v>
                </c:pt>
                <c:pt idx="13">
                  <c:v>120 001 – 130 000</c:v>
                </c:pt>
                <c:pt idx="14">
                  <c:v>130 001 – 140 000</c:v>
                </c:pt>
                <c:pt idx="15">
                  <c:v>140 001 – 150 000</c:v>
                </c:pt>
                <c:pt idx="16">
                  <c:v>150 001 – 200 000</c:v>
                </c:pt>
                <c:pt idx="17">
                  <c:v>200 001 – 300 000</c:v>
                </c:pt>
                <c:pt idx="18">
                  <c:v>300 001 – 400 000</c:v>
                </c:pt>
                <c:pt idx="19">
                  <c:v>400 001 – 500 000</c:v>
                </c:pt>
                <c:pt idx="20">
                  <c:v>500 001 – 750 000</c:v>
                </c:pt>
                <c:pt idx="21">
                  <c:v>750 001 – 1 000 000</c:v>
                </c:pt>
                <c:pt idx="22">
                  <c:v>1 000 001 – 2 000 000</c:v>
                </c:pt>
                <c:pt idx="23">
                  <c:v>2 000 001 – 5 000 000</c:v>
                </c:pt>
                <c:pt idx="24">
                  <c:v>5 000 001 +</c:v>
                </c:pt>
              </c:strCache>
            </c:strRef>
          </c:cat>
          <c:val>
            <c:numRef>
              <c:f>'Fig 2.5'!$G$29:$G$53</c:f>
              <c:numCache>
                <c:formatCode>0.0%</c:formatCode>
                <c:ptCount val="25"/>
                <c:pt idx="0">
                  <c:v>5.6963861346295526E-3</c:v>
                </c:pt>
                <c:pt idx="1">
                  <c:v>1.3378315392690902E-2</c:v>
                </c:pt>
                <c:pt idx="2">
                  <c:v>1.766602722449373E-2</c:v>
                </c:pt>
                <c:pt idx="3">
                  <c:v>9.1277495792328987E-3</c:v>
                </c:pt>
                <c:pt idx="4">
                  <c:v>9.8899062770580002E-3</c:v>
                </c:pt>
                <c:pt idx="5">
                  <c:v>1.1227605151975859E-2</c:v>
                </c:pt>
                <c:pt idx="6">
                  <c:v>1.667745670056683E-2</c:v>
                </c:pt>
                <c:pt idx="7">
                  <c:v>1.8499380457479748E-2</c:v>
                </c:pt>
                <c:pt idx="8">
                  <c:v>2.294054072220704E-2</c:v>
                </c:pt>
                <c:pt idx="9">
                  <c:v>2.0716422873810553E-2</c:v>
                </c:pt>
                <c:pt idx="10">
                  <c:v>1.8408726484138209E-2</c:v>
                </c:pt>
                <c:pt idx="11">
                  <c:v>1.8836126802355767E-2</c:v>
                </c:pt>
                <c:pt idx="12">
                  <c:v>1.8403641017340999E-2</c:v>
                </c:pt>
                <c:pt idx="13">
                  <c:v>1.8414917487195679E-2</c:v>
                </c:pt>
                <c:pt idx="14">
                  <c:v>1.692996118241083E-2</c:v>
                </c:pt>
                <c:pt idx="15">
                  <c:v>1.641279131985994E-2</c:v>
                </c:pt>
                <c:pt idx="16">
                  <c:v>7.7139013667081466E-2</c:v>
                </c:pt>
                <c:pt idx="17">
                  <c:v>6.6392095681067825E-2</c:v>
                </c:pt>
                <c:pt idx="18">
                  <c:v>2.2491250786036282E-2</c:v>
                </c:pt>
                <c:pt idx="19">
                  <c:v>9.5743862283790282E-3</c:v>
                </c:pt>
                <c:pt idx="20">
                  <c:v>9.374063058019428E-3</c:v>
                </c:pt>
                <c:pt idx="21">
                  <c:v>2.4410240626600264E-3</c:v>
                </c:pt>
                <c:pt idx="22">
                  <c:v>1.6324348419038926E-3</c:v>
                </c:pt>
                <c:pt idx="23">
                  <c:v>2.9960032653118985E-4</c:v>
                </c:pt>
                <c:pt idx="24">
                  <c:v>3.2944980555828254E-5</c:v>
                </c:pt>
              </c:numCache>
            </c:numRef>
          </c:val>
        </c:ser>
        <c:ser>
          <c:idx val="1"/>
          <c:order val="1"/>
          <c:tx>
            <c:strRef>
              <c:f>'Fig 2.5'!$H$28</c:f>
              <c:strCache>
                <c:ptCount val="1"/>
                <c:pt idx="0">
                  <c:v>%Male</c:v>
                </c:pt>
              </c:strCache>
            </c:strRef>
          </c:tx>
          <c:spPr>
            <a:solidFill>
              <a:schemeClr val="tx2"/>
            </a:solidFill>
            <a:ln>
              <a:solidFill>
                <a:schemeClr val="tx1"/>
              </a:solidFill>
            </a:ln>
          </c:spPr>
          <c:cat>
            <c:strRef>
              <c:f>'Fig 2.5'!$C$29:$C$53</c:f>
              <c:strCache>
                <c:ptCount val="25"/>
                <c:pt idx="0">
                  <c:v>&lt; 0</c:v>
                </c:pt>
                <c:pt idx="1">
                  <c:v>= 0</c:v>
                </c:pt>
                <c:pt idx="2">
                  <c:v>1 – 20 000</c:v>
                </c:pt>
                <c:pt idx="3">
                  <c:v>20 001 – 30 000</c:v>
                </c:pt>
                <c:pt idx="4">
                  <c:v>30 001 – 40 000</c:v>
                </c:pt>
                <c:pt idx="5">
                  <c:v>40 001 – 50 000</c:v>
                </c:pt>
                <c:pt idx="6">
                  <c:v>50 001 – 60 000</c:v>
                </c:pt>
                <c:pt idx="7">
                  <c:v>60 001 – 70 000</c:v>
                </c:pt>
                <c:pt idx="8">
                  <c:v>70 001 – 80 000</c:v>
                </c:pt>
                <c:pt idx="9">
                  <c:v>80 001 – 90 000</c:v>
                </c:pt>
                <c:pt idx="10">
                  <c:v>90 000 – 100 000</c:v>
                </c:pt>
                <c:pt idx="11">
                  <c:v>100 001 – 110 000</c:v>
                </c:pt>
                <c:pt idx="12">
                  <c:v>110 001 – 120 000</c:v>
                </c:pt>
                <c:pt idx="13">
                  <c:v>120 001 – 130 000</c:v>
                </c:pt>
                <c:pt idx="14">
                  <c:v>130 001 – 140 000</c:v>
                </c:pt>
                <c:pt idx="15">
                  <c:v>140 001 – 150 000</c:v>
                </c:pt>
                <c:pt idx="16">
                  <c:v>150 001 – 200 000</c:v>
                </c:pt>
                <c:pt idx="17">
                  <c:v>200 001 – 300 000</c:v>
                </c:pt>
                <c:pt idx="18">
                  <c:v>300 001 – 400 000</c:v>
                </c:pt>
                <c:pt idx="19">
                  <c:v>400 001 – 500 000</c:v>
                </c:pt>
                <c:pt idx="20">
                  <c:v>500 001 – 750 000</c:v>
                </c:pt>
                <c:pt idx="21">
                  <c:v>750 001 – 1 000 000</c:v>
                </c:pt>
                <c:pt idx="22">
                  <c:v>1 000 001 – 2 000 000</c:v>
                </c:pt>
                <c:pt idx="23">
                  <c:v>2 000 001 – 5 000 000</c:v>
                </c:pt>
                <c:pt idx="24">
                  <c:v>5 000 001 +</c:v>
                </c:pt>
              </c:strCache>
            </c:strRef>
          </c:cat>
          <c:val>
            <c:numRef>
              <c:f>'Fig 2.5'!$H$29:$H$53</c:f>
              <c:numCache>
                <c:formatCode>0.0%</c:formatCode>
                <c:ptCount val="25"/>
                <c:pt idx="0">
                  <c:v>-1.0761953279153212E-2</c:v>
                </c:pt>
                <c:pt idx="1">
                  <c:v>-1.6237895483486385E-2</c:v>
                </c:pt>
                <c:pt idx="2">
                  <c:v>-1.8222996392414075E-2</c:v>
                </c:pt>
                <c:pt idx="3">
                  <c:v>-1.0292763690297725E-2</c:v>
                </c:pt>
                <c:pt idx="4">
                  <c:v>-1.1733940759176172E-2</c:v>
                </c:pt>
                <c:pt idx="5">
                  <c:v>-1.3483120230163806E-2</c:v>
                </c:pt>
                <c:pt idx="6">
                  <c:v>-1.9551408762745727E-2</c:v>
                </c:pt>
                <c:pt idx="7">
                  <c:v>-2.0587959560368029E-2</c:v>
                </c:pt>
                <c:pt idx="8">
                  <c:v>-2.3369046576684861E-2</c:v>
                </c:pt>
                <c:pt idx="9">
                  <c:v>-2.1550660535804782E-2</c:v>
                </c:pt>
                <c:pt idx="10">
                  <c:v>-1.9557599765803197E-2</c:v>
                </c:pt>
                <c:pt idx="11">
                  <c:v>-1.8674939615609464E-2</c:v>
                </c:pt>
                <c:pt idx="12">
                  <c:v>-1.8837895660372184E-2</c:v>
                </c:pt>
                <c:pt idx="13">
                  <c:v>-1.9689379688026511E-2</c:v>
                </c:pt>
                <c:pt idx="14">
                  <c:v>-1.8253509193197327E-2</c:v>
                </c:pt>
                <c:pt idx="15">
                  <c:v>-1.7020172941248267E-2</c:v>
                </c:pt>
                <c:pt idx="16">
                  <c:v>-7.6957705720398381E-2</c:v>
                </c:pt>
                <c:pt idx="17">
                  <c:v>-8.499937647754921E-2</c:v>
                </c:pt>
                <c:pt idx="18">
                  <c:v>-4.3636621728828762E-2</c:v>
                </c:pt>
                <c:pt idx="19">
                  <c:v>-2.4560151343491887E-2</c:v>
                </c:pt>
                <c:pt idx="20">
                  <c:v>-2.7565441113389991E-2</c:v>
                </c:pt>
                <c:pt idx="21">
                  <c:v>-9.7977045529520912E-3</c:v>
                </c:pt>
                <c:pt idx="22">
                  <c:v>-9.0797693055374978E-3</c:v>
                </c:pt>
                <c:pt idx="23">
                  <c:v>-2.5422911841000892E-3</c:v>
                </c:pt>
                <c:pt idx="24">
                  <c:v>-4.3292799951887061E-4</c:v>
                </c:pt>
              </c:numCache>
            </c:numRef>
          </c:val>
        </c:ser>
        <c:gapWidth val="53"/>
        <c:overlap val="100"/>
        <c:axId val="53458048"/>
        <c:axId val="53459968"/>
      </c:barChart>
      <c:catAx>
        <c:axId val="53458048"/>
        <c:scaling>
          <c:orientation val="minMax"/>
        </c:scaling>
        <c:axPos val="l"/>
        <c:title>
          <c:tx>
            <c:rich>
              <a:bodyPr rot="-5400000" vert="horz"/>
              <a:lstStyle/>
              <a:p>
                <a:pPr>
                  <a:defRPr/>
                </a:pPr>
                <a:r>
                  <a:rPr lang="en-US"/>
                  <a:t>Taxable income</a:t>
                </a:r>
              </a:p>
            </c:rich>
          </c:tx>
          <c:layout/>
        </c:title>
        <c:majorTickMark val="none"/>
        <c:tickLblPos val="low"/>
        <c:spPr>
          <a:ln w="3175">
            <a:solidFill>
              <a:schemeClr val="tx1"/>
            </a:solidFill>
          </a:ln>
        </c:spPr>
        <c:txPr>
          <a:bodyPr/>
          <a:lstStyle/>
          <a:p>
            <a:pPr>
              <a:defRPr sz="700"/>
            </a:pPr>
            <a:endParaRPr lang="en-US"/>
          </a:p>
        </c:txPr>
        <c:crossAx val="53459968"/>
        <c:crosses val="autoZero"/>
        <c:auto val="1"/>
        <c:lblAlgn val="ctr"/>
        <c:lblOffset val="100"/>
        <c:tickLblSkip val="1"/>
      </c:catAx>
      <c:valAx>
        <c:axId val="53459968"/>
        <c:scaling>
          <c:orientation val="minMax"/>
          <c:max val="8.0000000000000043E-2"/>
          <c:min val="-0.1"/>
        </c:scaling>
        <c:axPos val="b"/>
        <c:numFmt formatCode="0%;0%" sourceLinked="0"/>
        <c:tickLblPos val="nextTo"/>
        <c:spPr>
          <a:ln w="3175">
            <a:solidFill>
              <a:schemeClr val="tx1"/>
            </a:solidFill>
          </a:ln>
        </c:spPr>
        <c:crossAx val="53458048"/>
        <c:crosses val="autoZero"/>
        <c:crossBetween val="between"/>
        <c:majorUnit val="2.0000000000000011E-2"/>
      </c:valAx>
      <c:spPr>
        <a:ln>
          <a:solidFill>
            <a:sysClr val="windowText" lastClr="000000"/>
          </a:solidFill>
        </a:ln>
      </c:spPr>
    </c:plotArea>
    <c:legend>
      <c:legendPos val="b"/>
      <c:layout>
        <c:manualLayout>
          <c:xMode val="edge"/>
          <c:yMode val="edge"/>
          <c:x val="1.2129579692949585E-2"/>
          <c:y val="0.86167577267129314"/>
          <c:w val="0.14012422248588788"/>
          <c:h val="0.10431062188655139"/>
        </c:manualLayout>
      </c:layout>
      <c:spPr>
        <a:solidFill>
          <a:schemeClr val="bg1"/>
        </a:solidFill>
        <a:ln>
          <a:noFill/>
        </a:ln>
      </c:spPr>
    </c:legend>
    <c:plotVisOnly val="1"/>
    <c:dispBlanksAs val="gap"/>
  </c:chart>
  <c:spPr>
    <a:ln w="3175">
      <a:solidFill>
        <a:schemeClr val="tx1"/>
      </a:solidFill>
    </a:ln>
  </c:spPr>
  <c:txPr>
    <a:bodyPr/>
    <a:lstStyle/>
    <a:p>
      <a:pPr>
        <a:defRPr sz="800">
          <a:latin typeface="Arial" pitchFamily="34" charset="0"/>
          <a:cs typeface="Arial" pitchFamily="34" charset="0"/>
        </a:defRPr>
      </a:pPr>
      <a:endParaRPr lang="en-US"/>
    </a:p>
  </c:txPr>
  <c:printSettings>
    <c:headerFooter/>
    <c:pageMargins b="0.75000000000000899" l="0.70000000000000062" r="0.70000000000000062" t="0.750000000000008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ZA"/>
  <c:chart>
    <c:plotArea>
      <c:layout>
        <c:manualLayout>
          <c:layoutTarget val="inner"/>
          <c:xMode val="edge"/>
          <c:yMode val="edge"/>
          <c:x val="0.20738183368104629"/>
          <c:y val="0.1039491469816287"/>
          <c:w val="0.54162549036210816"/>
          <c:h val="0.78704954068241473"/>
        </c:manualLayout>
      </c:layout>
      <c:pieChart>
        <c:varyColors val="1"/>
        <c:ser>
          <c:idx val="3"/>
          <c:order val="0"/>
          <c:spPr>
            <a:ln>
              <a:solidFill>
                <a:schemeClr val="tx1"/>
              </a:solidFill>
            </a:ln>
          </c:spPr>
          <c:dPt>
            <c:idx val="0"/>
            <c:spPr>
              <a:solidFill>
                <a:schemeClr val="accent2">
                  <a:lumMod val="40000"/>
                  <a:lumOff val="60000"/>
                </a:schemeClr>
              </a:solidFill>
              <a:ln>
                <a:solidFill>
                  <a:schemeClr val="tx1"/>
                </a:solidFill>
              </a:ln>
            </c:spPr>
          </c:dPt>
          <c:dPt>
            <c:idx val="1"/>
            <c:spPr>
              <a:solidFill>
                <a:srgbClr val="991F00"/>
              </a:solidFill>
              <a:ln>
                <a:solidFill>
                  <a:schemeClr val="tx1"/>
                </a:solidFill>
              </a:ln>
            </c:spPr>
          </c:dPt>
          <c:dPt>
            <c:idx val="2"/>
            <c:spPr>
              <a:solidFill>
                <a:srgbClr val="004F87"/>
              </a:solidFill>
              <a:ln>
                <a:solidFill>
                  <a:schemeClr val="tx1"/>
                </a:solidFill>
              </a:ln>
            </c:spPr>
          </c:dPt>
          <c:dPt>
            <c:idx val="3"/>
            <c:spPr>
              <a:solidFill>
                <a:srgbClr val="8EB4E3"/>
              </a:solidFill>
              <a:ln>
                <a:solidFill>
                  <a:schemeClr val="tx1"/>
                </a:solidFill>
              </a:ln>
            </c:spPr>
          </c:dPt>
          <c:dPt>
            <c:idx val="4"/>
            <c:spPr>
              <a:solidFill>
                <a:schemeClr val="tx1"/>
              </a:solidFill>
              <a:ln>
                <a:solidFill>
                  <a:schemeClr val="tx1"/>
                </a:solidFill>
              </a:ln>
            </c:spPr>
          </c:dPt>
          <c:dPt>
            <c:idx val="5"/>
            <c:spPr>
              <a:solidFill>
                <a:schemeClr val="bg1">
                  <a:lumMod val="50000"/>
                </a:schemeClr>
              </a:solidFill>
              <a:ln>
                <a:solidFill>
                  <a:schemeClr val="tx1"/>
                </a:solidFill>
              </a:ln>
            </c:spPr>
          </c:dPt>
          <c:dPt>
            <c:idx val="6"/>
            <c:spPr>
              <a:solidFill>
                <a:schemeClr val="bg1"/>
              </a:solidFill>
              <a:ln>
                <a:solidFill>
                  <a:schemeClr val="tx1"/>
                </a:solidFill>
              </a:ln>
            </c:spPr>
          </c:dPt>
          <c:dPt>
            <c:idx val="7"/>
            <c:spPr>
              <a:solidFill>
                <a:schemeClr val="bg1">
                  <a:lumMod val="85000"/>
                </a:schemeClr>
              </a:solidFill>
              <a:ln>
                <a:solidFill>
                  <a:schemeClr val="tx1"/>
                </a:solidFill>
              </a:ln>
            </c:spPr>
          </c:dPt>
          <c:dLbls>
            <c:dLbl>
              <c:idx val="0"/>
              <c:layout>
                <c:manualLayout>
                  <c:x val="-5.7347670250897948E-3"/>
                  <c:y val="-1.2500000000000001E-2"/>
                </c:manualLayout>
              </c:layout>
              <c:dLblPos val="outEnd"/>
              <c:showVal val="1"/>
              <c:showCatName val="1"/>
              <c:separator>
</c:separator>
            </c:dLbl>
            <c:dLbl>
              <c:idx val="1"/>
              <c:layout>
                <c:manualLayout>
                  <c:x val="3.4433432889854336E-2"/>
                  <c:y val="-7.5000000000000039E-2"/>
                </c:manualLayout>
              </c:layout>
              <c:dLblPos val="bestFit"/>
              <c:showVal val="1"/>
              <c:showCatName val="1"/>
              <c:separator>
</c:separator>
            </c:dLbl>
            <c:dLbl>
              <c:idx val="2"/>
              <c:layout>
                <c:manualLayout>
                  <c:x val="3.4463978640600995E-2"/>
                  <c:y val="-0.12916666666666668"/>
                </c:manualLayout>
              </c:layout>
              <c:dLblPos val="bestFit"/>
              <c:showVal val="1"/>
              <c:showCatName val="1"/>
              <c:separator>
</c:separator>
            </c:dLbl>
            <c:dLbl>
              <c:idx val="3"/>
              <c:layout>
                <c:manualLayout>
                  <c:x val="5.1699022535976108E-2"/>
                  <c:y val="-4.5833661417322896E-2"/>
                </c:manualLayout>
              </c:layout>
              <c:dLblPos val="bestFit"/>
              <c:showVal val="1"/>
              <c:showCatName val="1"/>
              <c:separator>
</c:separator>
            </c:dLbl>
            <c:dLbl>
              <c:idx val="4"/>
              <c:layout>
                <c:manualLayout>
                  <c:x val="3.1467797294568951E-2"/>
                  <c:y val="-1.2500000000000001E-2"/>
                </c:manualLayout>
              </c:layout>
              <c:dLblPos val="bestFit"/>
              <c:showVal val="1"/>
              <c:showCatName val="1"/>
              <c:separator>
</c:separator>
            </c:dLbl>
            <c:dLbl>
              <c:idx val="5"/>
              <c:layout>
                <c:manualLayout>
                  <c:x val="5.4400850755724497E-2"/>
                  <c:y val="-3.333333333333334E-2"/>
                </c:manualLayout>
              </c:layout>
              <c:dLblPos val="bestFit"/>
              <c:showVal val="1"/>
              <c:showCatName val="1"/>
              <c:separator>
</c:separator>
            </c:dLbl>
            <c:dLbl>
              <c:idx val="6"/>
              <c:layout>
                <c:manualLayout>
                  <c:x val="6.0049352805258305E-2"/>
                  <c:y val="3.333333333333334E-2"/>
                </c:manualLayout>
              </c:layout>
              <c:dLblPos val="bestFit"/>
              <c:showVal val="1"/>
              <c:showCatName val="1"/>
              <c:separator>
</c:separator>
            </c:dLbl>
            <c:dLbl>
              <c:idx val="7"/>
              <c:layout>
                <c:manualLayout>
                  <c:x val="-6.6091954022988522E-2"/>
                  <c:y val="7.5000000000000011E-2"/>
                </c:manualLayout>
              </c:layout>
              <c:dLblPos val="bestFit"/>
              <c:showVal val="1"/>
              <c:showCatName val="1"/>
              <c:separator>
</c:separator>
            </c:dLbl>
            <c:txPr>
              <a:bodyPr/>
              <a:lstStyle/>
              <a:p>
                <a:pPr>
                  <a:defRPr sz="800"/>
                </a:pPr>
                <a:endParaRPr lang="en-US"/>
              </a:p>
            </c:txPr>
            <c:dLblPos val="outEnd"/>
            <c:showVal val="1"/>
            <c:showCatName val="1"/>
            <c:separator>
</c:separator>
            <c:showLeaderLines val="1"/>
          </c:dLbls>
          <c:cat>
            <c:strRef>
              <c:f>'Fig 2.6'!$C$28:$C$35</c:f>
              <c:strCache>
                <c:ptCount val="8"/>
                <c:pt idx="0">
                  <c:v>Income (Salaries, wages, remuneration)</c:v>
                </c:pt>
                <c:pt idx="1">
                  <c:v>Annual payment</c:v>
                </c:pt>
                <c:pt idx="2">
                  <c:v>Local interest</c:v>
                </c:pt>
                <c:pt idx="3">
                  <c:v>Overtime</c:v>
                </c:pt>
                <c:pt idx="4">
                  <c:v>Director's income</c:v>
                </c:pt>
                <c:pt idx="5">
                  <c:v>Commission</c:v>
                </c:pt>
                <c:pt idx="6">
                  <c:v>Pension income</c:v>
                </c:pt>
                <c:pt idx="7">
                  <c:v>All other sources of income</c:v>
                </c:pt>
              </c:strCache>
            </c:strRef>
          </c:cat>
          <c:val>
            <c:numRef>
              <c:f>'Fig 2.6'!$D$28:$D$35</c:f>
              <c:numCache>
                <c:formatCode>_ * #,##0.0%_ ;_ * \-#,##0.0%_ </c:formatCode>
                <c:ptCount val="8"/>
                <c:pt idx="0">
                  <c:v>0.80003184608628519</c:v>
                </c:pt>
                <c:pt idx="1">
                  <c:v>9.6401529891229937E-2</c:v>
                </c:pt>
                <c:pt idx="2">
                  <c:v>1.2181450352250635E-2</c:v>
                </c:pt>
                <c:pt idx="3">
                  <c:v>0</c:v>
                </c:pt>
                <c:pt idx="4">
                  <c:v>4.4085797156024654E-2</c:v>
                </c:pt>
                <c:pt idx="5">
                  <c:v>3.091946952128849E-2</c:v>
                </c:pt>
                <c:pt idx="6">
                  <c:v>0</c:v>
                </c:pt>
                <c:pt idx="7">
                  <c:v>1.6379906992921033E-2</c:v>
                </c:pt>
              </c:numCache>
            </c:numRef>
          </c:val>
        </c:ser>
        <c:firstSliceAng val="140"/>
      </c:pieChart>
      <c:spPr>
        <a:noFill/>
        <a:ln w="25400">
          <a:noFill/>
        </a:ln>
      </c:spPr>
    </c:plotArea>
    <c:plotVisOnly val="1"/>
    <c:dispBlanksAs val="zero"/>
  </c:chart>
  <c:spPr>
    <a:no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ZA"/>
  <c:chart>
    <c:title>
      <c:tx>
        <c:rich>
          <a:bodyPr/>
          <a:lstStyle/>
          <a:p>
            <a:pPr>
              <a:defRPr sz="1000"/>
            </a:pPr>
            <a:r>
              <a:rPr lang="en-US" sz="1000"/>
              <a:t>R million</a:t>
            </a:r>
          </a:p>
        </c:rich>
      </c:tx>
      <c:layout>
        <c:manualLayout>
          <c:xMode val="edge"/>
          <c:yMode val="edge"/>
          <c:x val="1.579972400284901E-2"/>
          <c:y val="2.5813008130081302E-2"/>
        </c:manualLayout>
      </c:layout>
    </c:title>
    <c:plotArea>
      <c:layout/>
      <c:pieChart>
        <c:varyColors val="1"/>
        <c:ser>
          <c:idx val="0"/>
          <c:order val="0"/>
          <c:tx>
            <c:strRef>
              <c:f>'Fig 2.7'!$D$28</c:f>
              <c:strCache>
                <c:ptCount val="1"/>
                <c:pt idx="0">
                  <c:v>Tax 
assessed
(R million)</c:v>
                </c:pt>
              </c:strCache>
            </c:strRef>
          </c:tx>
          <c:spPr>
            <a:ln>
              <a:solidFill>
                <a:schemeClr val="tx1"/>
              </a:solidFill>
            </a:ln>
          </c:spPr>
          <c:dPt>
            <c:idx val="0"/>
            <c:spPr>
              <a:solidFill>
                <a:srgbClr val="993300"/>
              </a:solidFill>
              <a:ln>
                <a:solidFill>
                  <a:schemeClr val="tx1"/>
                </a:solidFill>
              </a:ln>
            </c:spPr>
          </c:dPt>
          <c:dPt>
            <c:idx val="1"/>
            <c:spPr>
              <a:solidFill>
                <a:srgbClr val="99CCFF"/>
              </a:solidFill>
              <a:ln>
                <a:solidFill>
                  <a:schemeClr val="tx1"/>
                </a:solidFill>
              </a:ln>
            </c:spPr>
          </c:dPt>
          <c:dPt>
            <c:idx val="2"/>
            <c:spPr>
              <a:solidFill>
                <a:sysClr val="window" lastClr="FFFFFF">
                  <a:lumMod val="85000"/>
                </a:sysClr>
              </a:solidFill>
              <a:ln>
                <a:solidFill>
                  <a:schemeClr val="tx1"/>
                </a:solidFill>
              </a:ln>
            </c:spPr>
          </c:dPt>
          <c:dPt>
            <c:idx val="3"/>
            <c:spPr>
              <a:solidFill>
                <a:srgbClr val="1F497D"/>
              </a:solidFill>
              <a:ln>
                <a:solidFill>
                  <a:schemeClr val="tx1"/>
                </a:solidFill>
              </a:ln>
            </c:spPr>
          </c:dPt>
          <c:dPt>
            <c:idx val="4"/>
            <c:spPr>
              <a:solidFill>
                <a:sysClr val="window" lastClr="FFFFFF">
                  <a:lumMod val="50000"/>
                </a:sysClr>
              </a:solidFill>
              <a:ln>
                <a:solidFill>
                  <a:schemeClr val="tx1"/>
                </a:solidFill>
              </a:ln>
            </c:spPr>
          </c:dPt>
          <c:dPt>
            <c:idx val="5"/>
            <c:spPr>
              <a:solidFill>
                <a:sysClr val="windowText" lastClr="000000"/>
              </a:solidFill>
              <a:ln>
                <a:solidFill>
                  <a:schemeClr val="tx1"/>
                </a:solidFill>
              </a:ln>
            </c:spPr>
          </c:dPt>
          <c:dPt>
            <c:idx val="6"/>
            <c:spPr>
              <a:solidFill>
                <a:sysClr val="window" lastClr="FFFFFF"/>
              </a:solidFill>
              <a:ln>
                <a:solidFill>
                  <a:schemeClr val="tx1"/>
                </a:solidFill>
              </a:ln>
            </c:spPr>
          </c:dPt>
          <c:dPt>
            <c:idx val="7"/>
            <c:spPr>
              <a:solidFill>
                <a:srgbClr val="C0504D">
                  <a:lumMod val="40000"/>
                  <a:lumOff val="60000"/>
                </a:srgbClr>
              </a:solidFill>
              <a:ln>
                <a:solidFill>
                  <a:schemeClr val="tx1"/>
                </a:solidFill>
              </a:ln>
            </c:spPr>
          </c:dPt>
          <c:dLbls>
            <c:dLbl>
              <c:idx val="0"/>
              <c:layout>
                <c:manualLayout>
                  <c:x val="-2.3803761796114452E-2"/>
                  <c:y val="-9.1792876449353744E-2"/>
                </c:manualLayout>
              </c:layout>
              <c:tx>
                <c:rich>
                  <a:bodyPr/>
                  <a:lstStyle/>
                  <a:p>
                    <a:r>
                      <a:rPr lang="en-US"/>
                      <a:t>Financing, insurance, real estate &amp; business services,  59 148, 32.5%</a:t>
                    </a:r>
                  </a:p>
                </c:rich>
              </c:tx>
              <c:showVal val="1"/>
              <c:showCatName val="1"/>
              <c:showPercent val="1"/>
            </c:dLbl>
            <c:dLbl>
              <c:idx val="1"/>
              <c:layout>
                <c:manualLayout>
                  <c:x val="-2.9479693405142456E-2"/>
                  <c:y val="3.2460027100271002E-2"/>
                </c:manualLayout>
              </c:layout>
              <c:showVal val="1"/>
              <c:showCatName val="1"/>
              <c:showPercent val="1"/>
            </c:dLbl>
            <c:dLbl>
              <c:idx val="2"/>
              <c:layout>
                <c:manualLayout>
                  <c:x val="-0.15411903490028508"/>
                  <c:y val="-3.6494241192411951E-2"/>
                </c:manualLayout>
              </c:layout>
              <c:showVal val="1"/>
              <c:showCatName val="1"/>
              <c:showPercent val="1"/>
            </c:dLbl>
            <c:dLbl>
              <c:idx val="3"/>
              <c:layout>
                <c:manualLayout>
                  <c:x val="4.6003702647000683E-2"/>
                  <c:y val="-0.10101626016260162"/>
                </c:manualLayout>
              </c:layout>
              <c:tx>
                <c:rich>
                  <a:bodyPr/>
                  <a:lstStyle/>
                  <a:p>
                    <a:r>
                      <a:rPr lang="en-US"/>
                      <a:t>Mining and quarrying, </a:t>
                    </a:r>
                    <a:r>
                      <a:rPr lang="en-US" baseline="0"/>
                      <a:t> </a:t>
                    </a:r>
                    <a:r>
                      <a:rPr lang="en-US"/>
                      <a:t>8 609, 4.7%</a:t>
                    </a:r>
                  </a:p>
                </c:rich>
              </c:tx>
              <c:showVal val="1"/>
              <c:showCatName val="1"/>
              <c:showPercent val="1"/>
            </c:dLbl>
            <c:dLbl>
              <c:idx val="4"/>
              <c:layout>
                <c:manualLayout>
                  <c:x val="7.1868211360398893E-2"/>
                  <c:y val="-4.5105352303523007E-2"/>
                </c:manualLayout>
              </c:layout>
              <c:showVal val="1"/>
              <c:showCatName val="1"/>
              <c:showPercent val="1"/>
            </c:dLbl>
            <c:dLbl>
              <c:idx val="5"/>
              <c:layout>
                <c:manualLayout>
                  <c:x val="5.0185957592760476E-2"/>
                  <c:y val="0.10727066395663977"/>
                </c:manualLayout>
              </c:layout>
              <c:showVal val="1"/>
              <c:showCatName val="1"/>
              <c:showPercent val="1"/>
            </c:dLbl>
            <c:dLbl>
              <c:idx val="6"/>
              <c:layout>
                <c:manualLayout>
                  <c:x val="6.3063655561739221E-2"/>
                  <c:y val="0.23624457994579945"/>
                </c:manualLayout>
              </c:layout>
              <c:showVal val="1"/>
              <c:showCatName val="1"/>
              <c:showPercent val="1"/>
            </c:dLbl>
            <c:dLbl>
              <c:idx val="7"/>
              <c:layout>
                <c:manualLayout>
                  <c:x val="9.5240453643583717E-3"/>
                  <c:y val="0.13372798102981029"/>
                </c:manualLayout>
              </c:layout>
              <c:showVal val="1"/>
              <c:showCatName val="1"/>
              <c:showPercent val="1"/>
            </c:dLbl>
            <c:numFmt formatCode="0.0%" sourceLinked="0"/>
            <c:txPr>
              <a:bodyPr/>
              <a:lstStyle/>
              <a:p>
                <a:pPr>
                  <a:defRPr sz="800">
                    <a:latin typeface="Arial" pitchFamily="34" charset="0"/>
                    <a:cs typeface="Arial" pitchFamily="34" charset="0"/>
                  </a:defRPr>
                </a:pPr>
                <a:endParaRPr lang="en-US"/>
              </a:p>
            </c:txPr>
            <c:showVal val="1"/>
            <c:showCatName val="1"/>
            <c:showPercent val="1"/>
            <c:showLeaderLines val="1"/>
          </c:dLbls>
          <c:cat>
            <c:strRef>
              <c:f>'Fig 2.7'!$B$29:$B$36</c:f>
              <c:strCache>
                <c:ptCount val="8"/>
                <c:pt idx="0">
                  <c:v>Financing, insurance, real estate &amp; business services</c:v>
                </c:pt>
                <c:pt idx="1">
                  <c:v>Agencies and other services</c:v>
                </c:pt>
                <c:pt idx="2">
                  <c:v>Long term insurance</c:v>
                </c:pt>
                <c:pt idx="3">
                  <c:v>Mining and quarrying</c:v>
                </c:pt>
                <c:pt idx="4">
                  <c:v>Educational services</c:v>
                </c:pt>
                <c:pt idx="5">
                  <c:v>Medical, dental &amp; other health &amp; veterinary services</c:v>
                </c:pt>
                <c:pt idx="6">
                  <c:v>Transport, storage &amp; communications</c:v>
                </c:pt>
                <c:pt idx="7">
                  <c:v>All other sectors</c:v>
                </c:pt>
              </c:strCache>
            </c:strRef>
          </c:cat>
          <c:val>
            <c:numRef>
              <c:f>'Fig 2.7'!$D$29:$D$36</c:f>
              <c:numCache>
                <c:formatCode>_(* #,##0_);_*\ \-#,##0_);_(* "–"_);_(@_)</c:formatCode>
                <c:ptCount val="8"/>
                <c:pt idx="0">
                  <c:v>59148.118496000003</c:v>
                </c:pt>
                <c:pt idx="1">
                  <c:v>36754.743756999997</c:v>
                </c:pt>
                <c:pt idx="2">
                  <c:v>17304.822326000001</c:v>
                </c:pt>
                <c:pt idx="3">
                  <c:v>8608.5629090000002</c:v>
                </c:pt>
                <c:pt idx="4">
                  <c:v>4672.2903040000001</c:v>
                </c:pt>
                <c:pt idx="5">
                  <c:v>2954.2779679999999</c:v>
                </c:pt>
                <c:pt idx="6">
                  <c:v>6116.4253349999999</c:v>
                </c:pt>
                <c:pt idx="7">
                  <c:v>46603.719368999999</c:v>
                </c:pt>
              </c:numCache>
            </c:numRef>
          </c:val>
        </c:ser>
        <c:dLbls>
          <c:showCatName val="1"/>
          <c:showPercent val="1"/>
        </c:dLbls>
        <c:firstSliceAng val="170"/>
      </c:pieChart>
    </c:plotArea>
    <c:plotVisOnly val="1"/>
    <c:dispBlanksAs val="zero"/>
  </c:chart>
  <c:spPr>
    <a:ln w="3175">
      <a:solidFill>
        <a:sysClr val="windowText" lastClr="000000"/>
      </a:solidFill>
    </a:ln>
  </c:spPr>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ZA"/>
  <c:chart>
    <c:title>
      <c:tx>
        <c:rich>
          <a:bodyPr/>
          <a:lstStyle/>
          <a:p>
            <a:pPr>
              <a:defRPr sz="800" b="1"/>
            </a:pPr>
            <a:r>
              <a:rPr lang="en-ZA" sz="800" b="1"/>
              <a:t>R</a:t>
            </a:r>
            <a:r>
              <a:rPr lang="en-ZA" sz="800" b="1" baseline="0"/>
              <a:t> million</a:t>
            </a:r>
            <a:endParaRPr lang="en-ZA" sz="800" b="1"/>
          </a:p>
        </c:rich>
      </c:tx>
      <c:layout>
        <c:manualLayout>
          <c:xMode val="edge"/>
          <c:yMode val="edge"/>
          <c:x val="2.2159194386416E-2"/>
          <c:y val="2.3809523809523812E-2"/>
        </c:manualLayout>
      </c:layout>
      <c:overlay val="1"/>
    </c:title>
    <c:plotArea>
      <c:layout>
        <c:manualLayout>
          <c:layoutTarget val="inner"/>
          <c:xMode val="edge"/>
          <c:yMode val="edge"/>
          <c:x val="0.19635491992072418"/>
          <c:y val="0.12614307140178888"/>
          <c:w val="0.51743139250450865"/>
          <c:h val="0.77614708875676253"/>
        </c:manualLayout>
      </c:layout>
      <c:pieChart>
        <c:varyColors val="1"/>
        <c:ser>
          <c:idx val="3"/>
          <c:order val="0"/>
          <c:spPr>
            <a:ln>
              <a:solidFill>
                <a:schemeClr val="tx1"/>
              </a:solidFill>
            </a:ln>
          </c:spPr>
          <c:dPt>
            <c:idx val="0"/>
            <c:spPr>
              <a:solidFill>
                <a:schemeClr val="accent2">
                  <a:lumMod val="40000"/>
                  <a:lumOff val="60000"/>
                </a:schemeClr>
              </a:solidFill>
              <a:ln>
                <a:solidFill>
                  <a:schemeClr val="tx1"/>
                </a:solidFill>
              </a:ln>
            </c:spPr>
          </c:dPt>
          <c:dPt>
            <c:idx val="1"/>
            <c:spPr>
              <a:solidFill>
                <a:srgbClr val="993300"/>
              </a:solidFill>
              <a:ln>
                <a:solidFill>
                  <a:schemeClr val="tx1"/>
                </a:solidFill>
              </a:ln>
            </c:spPr>
          </c:dPt>
          <c:dPt>
            <c:idx val="2"/>
            <c:spPr>
              <a:solidFill>
                <a:srgbClr val="004F87"/>
              </a:solidFill>
              <a:ln>
                <a:solidFill>
                  <a:schemeClr val="tx1"/>
                </a:solidFill>
              </a:ln>
            </c:spPr>
          </c:dPt>
          <c:dPt>
            <c:idx val="3"/>
            <c:spPr>
              <a:solidFill>
                <a:srgbClr val="99CCFF"/>
              </a:solidFill>
              <a:ln>
                <a:solidFill>
                  <a:schemeClr val="tx1"/>
                </a:solidFill>
              </a:ln>
            </c:spPr>
          </c:dPt>
          <c:dLbls>
            <c:dLbl>
              <c:idx val="0"/>
              <c:layout>
                <c:manualLayout>
                  <c:x val="-3.4115138592750532E-2"/>
                  <c:y val="8.2815734989648056E-3"/>
                </c:manualLayout>
              </c:layout>
              <c:dLblPos val="bestFit"/>
              <c:showVal val="1"/>
              <c:showCatName val="1"/>
              <c:showPercent val="1"/>
              <c:separator>
</c:separator>
            </c:dLbl>
            <c:dLbl>
              <c:idx val="1"/>
              <c:layout>
                <c:manualLayout>
                  <c:x val="4.2643923240938533E-2"/>
                  <c:y val="-4.1407867494824016E-2"/>
                </c:manualLayout>
              </c:layout>
              <c:dLblPos val="bestFit"/>
              <c:showVal val="1"/>
              <c:showCatName val="1"/>
              <c:showPercent val="1"/>
              <c:separator>
</c:separator>
            </c:dLbl>
            <c:dLbl>
              <c:idx val="2"/>
              <c:layout>
                <c:manualLayout>
                  <c:x val="0.10234541577825162"/>
                  <c:y val="0.10351966873706005"/>
                </c:manualLayout>
              </c:layout>
              <c:dLblPos val="bestFit"/>
              <c:showVal val="1"/>
              <c:showCatName val="1"/>
              <c:showPercent val="1"/>
              <c:separator>
</c:separator>
            </c:dLbl>
            <c:dLbl>
              <c:idx val="3"/>
              <c:layout>
                <c:manualLayout>
                  <c:x val="5.6858564321251928E-3"/>
                  <c:y val="0.18633540372671073"/>
                </c:manualLayout>
              </c:layout>
              <c:dLblPos val="bestFit"/>
              <c:showVal val="1"/>
              <c:showCatName val="1"/>
              <c:showPercent val="1"/>
              <c:separator>
</c:separator>
            </c:dLbl>
            <c:dLbl>
              <c:idx val="4"/>
              <c:layout>
                <c:manualLayout>
                  <c:x val="6.8230277185501093E-2"/>
                  <c:y val="-4.1407867494824016E-2"/>
                </c:manualLayout>
              </c:layout>
              <c:dLblPos val="bestFit"/>
              <c:showVal val="1"/>
              <c:showCatName val="1"/>
              <c:showPercent val="1"/>
              <c:separator>
</c:separator>
            </c:dLbl>
            <c:numFmt formatCode="0.0%" sourceLinked="0"/>
            <c:txPr>
              <a:bodyPr/>
              <a:lstStyle/>
              <a:p>
                <a:pPr>
                  <a:defRPr sz="800"/>
                </a:pPr>
                <a:endParaRPr lang="en-US"/>
              </a:p>
            </c:txPr>
            <c:dLblPos val="outEnd"/>
            <c:showVal val="1"/>
            <c:showCatName val="1"/>
            <c:showPercent val="1"/>
            <c:separator>
</c:separator>
            <c:showLeaderLines val="1"/>
          </c:dLbls>
          <c:cat>
            <c:strRef>
              <c:f>'Fig 2.8'!$B$28:$B$31</c:f>
              <c:strCache>
                <c:ptCount val="4"/>
                <c:pt idx="0">
                  <c:v>Travelling allowance</c:v>
                </c:pt>
                <c:pt idx="1">
                  <c:v>Share options exercised</c:v>
                </c:pt>
                <c:pt idx="2">
                  <c:v>Reimbursive travel allowance - taxable</c:v>
                </c:pt>
                <c:pt idx="3">
                  <c:v>All other allowances</c:v>
                </c:pt>
              </c:strCache>
            </c:strRef>
          </c:cat>
          <c:val>
            <c:numRef>
              <c:f>'Fig 2.8'!$D$28:$D$31</c:f>
              <c:numCache>
                <c:formatCode>_(* #,##0_);_*\ \-#,##0_);_(* "–"_);_(@_)</c:formatCode>
                <c:ptCount val="4"/>
                <c:pt idx="0">
                  <c:v>26658.272053000001</c:v>
                </c:pt>
                <c:pt idx="1">
                  <c:v>6080.374546</c:v>
                </c:pt>
                <c:pt idx="2">
                  <c:v>2989.3369539999999</c:v>
                </c:pt>
                <c:pt idx="3">
                  <c:v>34861.51838899999</c:v>
                </c:pt>
              </c:numCache>
            </c:numRef>
          </c:val>
        </c:ser>
        <c:firstSliceAng val="220"/>
      </c:pieChart>
      <c:spPr>
        <a:noFill/>
        <a:ln w="25400">
          <a:noFill/>
        </a:ln>
      </c:spPr>
    </c:plotArea>
    <c:plotVisOnly val="1"/>
    <c:dispBlanksAs val="zero"/>
  </c:chart>
  <c:spPr>
    <a:noFill/>
    <a:ln w="3175">
      <a:solidFill>
        <a:schemeClr val="tx1"/>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ZA"/>
  <c:chart>
    <c:title>
      <c:tx>
        <c:rich>
          <a:bodyPr/>
          <a:lstStyle/>
          <a:p>
            <a:pPr>
              <a:defRPr sz="800" b="1"/>
            </a:pPr>
            <a:r>
              <a:rPr lang="en-ZA" sz="800" b="1"/>
              <a:t>R</a:t>
            </a:r>
            <a:r>
              <a:rPr lang="en-ZA" sz="800" b="1" baseline="0"/>
              <a:t> million</a:t>
            </a:r>
            <a:endParaRPr lang="en-ZA" sz="800" b="1"/>
          </a:p>
        </c:rich>
      </c:tx>
      <c:layout>
        <c:manualLayout>
          <c:xMode val="edge"/>
          <c:yMode val="edge"/>
          <c:x val="2.2159194386416E-2"/>
          <c:y val="2.3809523809523812E-2"/>
        </c:manualLayout>
      </c:layout>
      <c:overlay val="1"/>
    </c:title>
    <c:plotArea>
      <c:layout>
        <c:manualLayout>
          <c:layoutTarget val="inner"/>
          <c:xMode val="edge"/>
          <c:yMode val="edge"/>
          <c:x val="0.25036438626990787"/>
          <c:y val="0.12478891549214655"/>
          <c:w val="0.51763756803125216"/>
          <c:h val="0.74968199507976863"/>
        </c:manualLayout>
      </c:layout>
      <c:pieChart>
        <c:varyColors val="1"/>
        <c:ser>
          <c:idx val="3"/>
          <c:order val="0"/>
          <c:spPr>
            <a:ln>
              <a:solidFill>
                <a:schemeClr val="tx1"/>
              </a:solidFill>
            </a:ln>
          </c:spPr>
          <c:dPt>
            <c:idx val="0"/>
            <c:spPr>
              <a:solidFill>
                <a:schemeClr val="accent2">
                  <a:lumMod val="40000"/>
                  <a:lumOff val="60000"/>
                </a:schemeClr>
              </a:solidFill>
              <a:ln>
                <a:solidFill>
                  <a:schemeClr val="tx1"/>
                </a:solidFill>
              </a:ln>
            </c:spPr>
          </c:dPt>
          <c:dPt>
            <c:idx val="1"/>
            <c:spPr>
              <a:solidFill>
                <a:schemeClr val="bg1">
                  <a:lumMod val="85000"/>
                </a:schemeClr>
              </a:solidFill>
              <a:ln>
                <a:solidFill>
                  <a:schemeClr val="tx1"/>
                </a:solidFill>
              </a:ln>
            </c:spPr>
          </c:dPt>
          <c:dPt>
            <c:idx val="2"/>
            <c:spPr>
              <a:solidFill>
                <a:srgbClr val="004F87"/>
              </a:solidFill>
              <a:ln>
                <a:solidFill>
                  <a:schemeClr val="tx1"/>
                </a:solidFill>
              </a:ln>
            </c:spPr>
          </c:dPt>
          <c:dPt>
            <c:idx val="3"/>
            <c:spPr>
              <a:solidFill>
                <a:schemeClr val="bg1">
                  <a:lumMod val="50000"/>
                </a:schemeClr>
              </a:solidFill>
              <a:ln>
                <a:solidFill>
                  <a:schemeClr val="tx1"/>
                </a:solidFill>
              </a:ln>
            </c:spPr>
          </c:dPt>
          <c:dPt>
            <c:idx val="4"/>
            <c:spPr>
              <a:solidFill>
                <a:srgbClr val="99CCFF"/>
              </a:solidFill>
              <a:ln>
                <a:solidFill>
                  <a:schemeClr val="tx1"/>
                </a:solidFill>
              </a:ln>
            </c:spPr>
          </c:dPt>
          <c:dPt>
            <c:idx val="5"/>
            <c:spPr>
              <a:solidFill>
                <a:schemeClr val="tx1"/>
              </a:solidFill>
              <a:ln>
                <a:solidFill>
                  <a:schemeClr val="tx1"/>
                </a:solidFill>
              </a:ln>
            </c:spPr>
          </c:dPt>
          <c:dPt>
            <c:idx val="6"/>
            <c:spPr>
              <a:solidFill>
                <a:srgbClr val="993300"/>
              </a:solidFill>
              <a:ln>
                <a:solidFill>
                  <a:schemeClr val="tx1"/>
                </a:solidFill>
              </a:ln>
            </c:spPr>
          </c:dPt>
          <c:dLbls>
            <c:dLbl>
              <c:idx val="0"/>
              <c:layout>
                <c:manualLayout>
                  <c:x val="-0.10966810966811152"/>
                  <c:y val="-5.0156739811913396E-2"/>
                </c:manualLayout>
              </c:layout>
              <c:dLblPos val="bestFit"/>
              <c:showVal val="1"/>
              <c:showCatName val="1"/>
              <c:showPercent val="1"/>
              <c:separator>
</c:separator>
            </c:dLbl>
            <c:dLbl>
              <c:idx val="1"/>
              <c:layout>
                <c:manualLayout>
                  <c:x val="-0.18470418470418482"/>
                  <c:y val="0"/>
                </c:manualLayout>
              </c:layout>
              <c:dLblPos val="bestFit"/>
              <c:showVal val="1"/>
              <c:showCatName val="1"/>
              <c:showPercent val="1"/>
              <c:separator>
</c:separator>
            </c:dLbl>
            <c:dLbl>
              <c:idx val="2"/>
              <c:layout>
                <c:manualLayout>
                  <c:x val="8.6580086580086743E-2"/>
                  <c:y val="2.925809822361548E-2"/>
                </c:manualLayout>
              </c:layout>
              <c:dLblPos val="bestFit"/>
              <c:showVal val="1"/>
              <c:showCatName val="1"/>
              <c:showPercent val="1"/>
              <c:separator>
</c:separator>
            </c:dLbl>
            <c:dLbl>
              <c:idx val="3"/>
              <c:layout>
                <c:manualLayout>
                  <c:x val="3.4631807387713029E-2"/>
                  <c:y val="-0.24242424242424282"/>
                </c:manualLayout>
              </c:layout>
              <c:dLblPos val="bestFit"/>
              <c:showVal val="1"/>
              <c:showCatName val="1"/>
              <c:showPercent val="1"/>
              <c:separator>
</c:separator>
            </c:dLbl>
            <c:dLbl>
              <c:idx val="4"/>
              <c:layout>
                <c:manualLayout>
                  <c:x val="0.10389610389610406"/>
                  <c:y val="-0.17972831765935221"/>
                </c:manualLayout>
              </c:layout>
              <c:dLblPos val="bestFit"/>
              <c:showVal val="1"/>
              <c:showCatName val="1"/>
              <c:showPercent val="1"/>
              <c:separator>
</c:separator>
            </c:dLbl>
            <c:dLbl>
              <c:idx val="5"/>
              <c:layout>
                <c:manualLayout>
                  <c:x val="0.12698389973980526"/>
                  <c:y val="0"/>
                </c:manualLayout>
              </c:layout>
              <c:dLblPos val="bestFit"/>
              <c:showVal val="1"/>
              <c:showCatName val="1"/>
              <c:showPercent val="1"/>
              <c:separator>
</c:separator>
            </c:dLbl>
            <c:dLbl>
              <c:idx val="6"/>
              <c:layout>
                <c:manualLayout>
                  <c:x val="0"/>
                  <c:y val="4.1797283176593522E-2"/>
                </c:manualLayout>
              </c:layout>
              <c:dLblPos val="bestFit"/>
              <c:showVal val="1"/>
              <c:showCatName val="1"/>
              <c:showPercent val="1"/>
              <c:separator>
</c:separator>
            </c:dLbl>
            <c:numFmt formatCode="0.0%" sourceLinked="0"/>
            <c:txPr>
              <a:bodyPr/>
              <a:lstStyle/>
              <a:p>
                <a:pPr>
                  <a:defRPr sz="800"/>
                </a:pPr>
                <a:endParaRPr lang="en-US"/>
              </a:p>
            </c:txPr>
            <c:dLblPos val="outEnd"/>
            <c:showVal val="1"/>
            <c:showCatName val="1"/>
            <c:showPercent val="1"/>
            <c:separator>
</c:separator>
            <c:showLeaderLines val="1"/>
          </c:dLbls>
          <c:cat>
            <c:strRef>
              <c:f>'Fig 2.9'!$B$28:$B$34</c:f>
              <c:strCache>
                <c:ptCount val="7"/>
                <c:pt idx="0">
                  <c:v>Medical expenses</c:v>
                </c:pt>
                <c:pt idx="1">
                  <c:v>Travel expenses - fixed cost </c:v>
                </c:pt>
                <c:pt idx="2">
                  <c:v>Current pension fund contributions</c:v>
                </c:pt>
                <c:pt idx="3">
                  <c:v>Current retirement annuity fund</c:v>
                </c:pt>
                <c:pt idx="4">
                  <c:v>Travel expenses - actual business cost</c:v>
                </c:pt>
                <c:pt idx="5">
                  <c:v>Medical expenses (disabled)</c:v>
                </c:pt>
                <c:pt idx="6">
                  <c:v>All other deductions</c:v>
                </c:pt>
              </c:strCache>
            </c:strRef>
          </c:cat>
          <c:val>
            <c:numRef>
              <c:f>'Fig 2.9'!$D$28:$D$34</c:f>
              <c:numCache>
                <c:formatCode>_(* #,##0_);_*\ \-#,##0_);_(* "–"_);_(@_)</c:formatCode>
                <c:ptCount val="7"/>
                <c:pt idx="0">
                  <c:v>52662.218226999998</c:v>
                </c:pt>
                <c:pt idx="1">
                  <c:v>17350.250725000002</c:v>
                </c:pt>
                <c:pt idx="2">
                  <c:v>24225.105665999999</c:v>
                </c:pt>
                <c:pt idx="3">
                  <c:v>12084.504411</c:v>
                </c:pt>
                <c:pt idx="4">
                  <c:v>1106.0726320000001</c:v>
                </c:pt>
                <c:pt idx="5">
                  <c:v>1506.2085529999999</c:v>
                </c:pt>
                <c:pt idx="6">
                  <c:v>6033.6541100000177</c:v>
                </c:pt>
              </c:numCache>
            </c:numRef>
          </c:val>
        </c:ser>
        <c:firstSliceAng val="162"/>
      </c:pieChart>
      <c:spPr>
        <a:noFill/>
        <a:ln w="25400">
          <a:noFill/>
        </a:ln>
      </c:spPr>
    </c:plotArea>
    <c:plotVisOnly val="1"/>
    <c:dispBlanksAs val="zero"/>
  </c:chart>
  <c:spPr>
    <a:noFill/>
    <a:ln w="3175">
      <a:solidFill>
        <a:schemeClr val="tx1"/>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85725</xdr:rowOff>
    </xdr:from>
    <xdr:to>
      <xdr:col>8</xdr:col>
      <xdr:colOff>114300</xdr:colOff>
      <xdr:row>20</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123824</xdr:rowOff>
    </xdr:from>
    <xdr:to>
      <xdr:col>7</xdr:col>
      <xdr:colOff>214312</xdr:colOff>
      <xdr:row>20</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24849</xdr:colOff>
      <xdr:row>1</xdr:row>
      <xdr:rowOff>124239</xdr:rowOff>
    </xdr:from>
    <xdr:to>
      <xdr:col>6</xdr:col>
      <xdr:colOff>548724</xdr:colOff>
      <xdr:row>20</xdr:row>
      <xdr:rowOff>8283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1</xdr:row>
      <xdr:rowOff>95250</xdr:rowOff>
    </xdr:from>
    <xdr:to>
      <xdr:col>6</xdr:col>
      <xdr:colOff>590550</xdr:colOff>
      <xdr:row>20</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123825</xdr:colOff>
      <xdr:row>1</xdr:row>
      <xdr:rowOff>85725</xdr:rowOff>
    </xdr:from>
    <xdr:to>
      <xdr:col>8</xdr:col>
      <xdr:colOff>9525</xdr:colOff>
      <xdr:row>20</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1</xdr:row>
      <xdr:rowOff>114300</xdr:rowOff>
    </xdr:from>
    <xdr:to>
      <xdr:col>6</xdr:col>
      <xdr:colOff>276225</xdr:colOff>
      <xdr:row>20</xdr:row>
      <xdr:rowOff>85725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97117</xdr:colOff>
      <xdr:row>1</xdr:row>
      <xdr:rowOff>63500</xdr:rowOff>
    </xdr:from>
    <xdr:to>
      <xdr:col>7</xdr:col>
      <xdr:colOff>182270</xdr:colOff>
      <xdr:row>20</xdr:row>
      <xdr:rowOff>34736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161925</xdr:colOff>
      <xdr:row>1</xdr:row>
      <xdr:rowOff>38100</xdr:rowOff>
    </xdr:from>
    <xdr:to>
      <xdr:col>7</xdr:col>
      <xdr:colOff>304800</xdr:colOff>
      <xdr:row>20</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1</xdr:row>
      <xdr:rowOff>66675</xdr:rowOff>
    </xdr:from>
    <xdr:to>
      <xdr:col>7</xdr:col>
      <xdr:colOff>161925</xdr:colOff>
      <xdr:row>20</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enableFormatConditionsCalculation="0">
    <tabColor theme="5" tint="-0.249977111117893"/>
    <pageSetUpPr fitToPage="1"/>
  </sheetPr>
  <dimension ref="A1:B66"/>
  <sheetViews>
    <sheetView showGridLines="0" tabSelected="1" zoomScaleNormal="100" workbookViewId="0"/>
  </sheetViews>
  <sheetFormatPr defaultColWidth="9.140625" defaultRowHeight="12.75"/>
  <cols>
    <col min="1" max="1" width="1.7109375" style="1" customWidth="1"/>
    <col min="2" max="2" width="145.7109375" style="1" customWidth="1"/>
    <col min="3" max="16384" width="9.140625" style="1"/>
  </cols>
  <sheetData>
    <row r="1" spans="1:2">
      <c r="A1" s="191" t="s">
        <v>178</v>
      </c>
    </row>
    <row r="2" spans="1:2">
      <c r="A2" s="232" t="s">
        <v>175</v>
      </c>
      <c r="B2" s="233"/>
    </row>
    <row r="3" spans="1:2" ht="15" customHeight="1">
      <c r="A3" s="192"/>
      <c r="B3" s="193" t="str">
        <f>'2.1'!B1</f>
        <v>Table 2.1: Provisional tax payments by provisional period, 2007/08 – 2011/12</v>
      </c>
    </row>
    <row r="4" spans="1:2" ht="15" customHeight="1">
      <c r="A4" s="192"/>
      <c r="B4" s="193" t="str">
        <f>'2.2'!B1</f>
        <v>Table 2.2: Personal income tax (PIT) brackets, 2008 and 2011</v>
      </c>
    </row>
    <row r="5" spans="1:2" ht="15" customHeight="1">
      <c r="A5" s="192"/>
      <c r="B5" s="193" t="str">
        <f>'2.3'!B1</f>
        <v>Table 2.3: Tax relief granted to individuals since 1994/95</v>
      </c>
    </row>
    <row r="6" spans="1:2" ht="15" customHeight="1">
      <c r="A6" s="192"/>
      <c r="B6" s="193" t="str">
        <f>'2.4'!B1</f>
        <v>Table 2.4: Number of individual taxpayers, 2008 – 2011</v>
      </c>
    </row>
    <row r="7" spans="1:2" ht="15" customHeight="1">
      <c r="A7" s="192"/>
      <c r="B7" s="193" t="str">
        <f>'2.5'!B1</f>
        <v>Table 2.5: Assessed individual taxpayers: Summary of taxable income and tax assessed, 2008 – 2011</v>
      </c>
    </row>
    <row r="8" spans="1:2" ht="15" customHeight="1">
      <c r="A8" s="192"/>
      <c r="B8" s="193" t="str">
        <f>'2.6'!B1:G1</f>
        <v>Table 2.6: Distribution of assessed individual taxpayers over selected taxable income groups, 
2008 – 2011</v>
      </c>
    </row>
    <row r="9" spans="1:2" ht="15" customHeight="1">
      <c r="A9" s="192"/>
      <c r="B9" s="193" t="str">
        <f>'2.7'!B1</f>
        <v>Table 2.7: Taxpayers in income groups, deductions granted and taxable income, 2011</v>
      </c>
    </row>
    <row r="10" spans="1:2" ht="12.75" customHeight="1">
      <c r="A10" s="232" t="s">
        <v>176</v>
      </c>
      <c r="B10" s="233"/>
    </row>
    <row r="11" spans="1:2" ht="15" customHeight="1">
      <c r="A11" s="194"/>
      <c r="B11" s="193" t="str">
        <f>'Fig 2.1'!A1</f>
        <v>Figure 2.1: Example of tax relief granted to an individual with taxable income of R100 000 in 1994/95</v>
      </c>
    </row>
    <row r="12" spans="1:2" ht="15" customHeight="1">
      <c r="A12" s="194"/>
      <c r="B12" s="193" t="str">
        <f>'Fig 2.2'!A1</f>
        <v>Figure 2.2: Distribution of taxpayer in taxable income groups,2011</v>
      </c>
    </row>
    <row r="13" spans="1:2" ht="15" customHeight="1">
      <c r="A13" s="194"/>
      <c r="B13" s="193" t="str">
        <f>'Fig 2.3'!A1</f>
        <v>Figure 2.3: Percentage of assessed individual taxpayers by province, 2008 – 2011</v>
      </c>
    </row>
    <row r="14" spans="1:2" ht="15" customHeight="1">
      <c r="A14" s="194"/>
      <c r="B14" s="193" t="str">
        <f>'Fig 2.4'!A1</f>
        <v>Figure 2.4: Percentage of assessed individual taxpayers by age group, 2008 – 2011</v>
      </c>
    </row>
    <row r="15" spans="1:2" ht="15" customHeight="1">
      <c r="A15" s="194"/>
      <c r="B15" s="193" t="str">
        <f>'Fig 2.5'!A1</f>
        <v>Figure 2.5: Percentage male and female assessed individual taxpayers by taxable income group, 2011</v>
      </c>
    </row>
    <row r="16" spans="1:2" ht="15" customHeight="1">
      <c r="A16" s="194"/>
      <c r="B16" s="193" t="str">
        <f>'Fig 2.6'!A1</f>
        <v>Figure 2.6: Assessed individual taxpayers’ taxable income by source of income, 2011</v>
      </c>
    </row>
    <row r="17" spans="1:2" ht="15" customHeight="1">
      <c r="A17" s="194"/>
      <c r="B17" s="193" t="str">
        <f>'Fig 2.7'!A1</f>
        <v>Figure 2.7: Assessed individual taxpayers’ tax assessed by sector, 2011</v>
      </c>
    </row>
    <row r="18" spans="1:2" ht="15" customHeight="1">
      <c r="A18" s="194"/>
      <c r="B18" s="193" t="str">
        <f>'Fig 2.8'!A1</f>
        <v>Figure 2.8: Assessed individual taxpayers' allowances, 2011</v>
      </c>
    </row>
    <row r="19" spans="1:2" ht="15" customHeight="1">
      <c r="A19" s="194"/>
      <c r="B19" s="193" t="str">
        <f>'Fig 2.9'!A1</f>
        <v>Figure 2.9: Assessed individual taxpayers' deductions, 2011</v>
      </c>
    </row>
    <row r="20" spans="1:2" ht="12.75" customHeight="1">
      <c r="A20" s="232" t="s">
        <v>177</v>
      </c>
      <c r="B20" s="233"/>
    </row>
    <row r="21" spans="1:2" ht="15" customHeight="1">
      <c r="A21" s="192"/>
      <c r="B21" s="193" t="str">
        <f>A2.1.1!A1</f>
        <v>Table A2.1.1: Assessed individual taxpayers: Taxable income and tax assessed by taxable income group, 2008 – 2011</v>
      </c>
    </row>
    <row r="22" spans="1:2" ht="15" customHeight="1">
      <c r="A22" s="192"/>
      <c r="B22" s="193" t="str">
        <f>'A2.1.1 continued'!A1</f>
        <v>Table A2.1.1: Assessed individual taxpayers: Taxable income and tax assessed by taxable income group, 2008 – 2011  (continued)</v>
      </c>
    </row>
    <row r="23" spans="1:2" ht="15" customHeight="1">
      <c r="A23" s="192"/>
      <c r="B23" s="195" t="str">
        <f>A2.1.2!A1</f>
        <v>Table A2.1.2: Assessed individual taxpayers: Taxable income and income before deductions by income group, 2008 – 2011</v>
      </c>
    </row>
    <row r="24" spans="1:2" ht="15" customHeight="1">
      <c r="A24" s="192"/>
      <c r="B24" s="195" t="str">
        <f>'A2.1.2 continued'!A1</f>
        <v>Table A2.1.2: Assessed individual taxpayers: Taxable income and income before deductions by income group, 2008 – 2011  (continued)</v>
      </c>
    </row>
    <row r="25" spans="1:2" ht="15" customHeight="1">
      <c r="A25" s="192"/>
      <c r="B25" s="195" t="str">
        <f>A2.1.3!A1</f>
        <v>Table A2.1.3: Assessed individual taxpayers: Taxable income and tax assessed by province, 2008 – 2011</v>
      </c>
    </row>
    <row r="26" spans="1:2" ht="15" customHeight="1">
      <c r="A26" s="192"/>
      <c r="B26" s="195" t="str">
        <f>A2.1.4!A1</f>
        <v>Table A2.1.4: Assessed individual taxpayers: Taxable income and tax assessed by age group, 2008 – 2011</v>
      </c>
    </row>
    <row r="27" spans="1:2" ht="15" customHeight="1">
      <c r="A27" s="192"/>
      <c r="B27" s="195" t="str">
        <f>A2.1.5!A1</f>
        <v>Table A2.1.5: Assessed individual taxpayers: Taxable income and tax assessed by gender, 2008 – 2011</v>
      </c>
    </row>
    <row r="28" spans="1:2" ht="15" customHeight="1">
      <c r="A28" s="192"/>
      <c r="B28" s="195" t="str">
        <f>A2.1.6!A1</f>
        <v>Table A2.1.6: Percentage of assessed individual taxpayers by taxable income group and gender, 2008 – 2011</v>
      </c>
    </row>
    <row r="29" spans="1:2" ht="15" customHeight="1">
      <c r="A29" s="192"/>
      <c r="B29" s="193" t="str">
        <f>A2.2.1!A1</f>
        <v>Table A2.2.1: Assessed individual taxpayers: Selected sources of income, 2008 – 2011</v>
      </c>
    </row>
    <row r="30" spans="1:2" ht="15" customHeight="1">
      <c r="A30" s="192"/>
      <c r="B30" s="193" t="str">
        <f>A2.3.1!A1</f>
        <v>Table A2.3.1: Assessed individual taxpayers: Tax assessed by sector, 2008 – 2011</v>
      </c>
    </row>
    <row r="31" spans="1:2" ht="15" customHeight="1">
      <c r="A31" s="192"/>
      <c r="B31" s="195" t="str">
        <f>A2.3.2!A1</f>
        <v>Table A2.3.2: Assessed individual taxpayers: Tax assessed by economic activity, 2008 – 2011</v>
      </c>
    </row>
    <row r="32" spans="1:2" ht="15" customHeight="1">
      <c r="A32" s="192"/>
      <c r="B32" s="193" t="str">
        <f>A2.4.1!A1</f>
        <v>Table A2.4.1: Assessed individual taxpayers with business income: Taxable income and tax assessed by sector, 2008 – 2011</v>
      </c>
    </row>
    <row r="33" spans="1:2" ht="15" customHeight="1">
      <c r="A33" s="192"/>
      <c r="B33" s="193" t="str">
        <f>A2.5.1!A1</f>
        <v>Table A2.5.1: Assessed individual taxpayers: Allowances, 2008 – 2011</v>
      </c>
    </row>
    <row r="34" spans="1:2">
      <c r="A34" s="192"/>
      <c r="B34" s="195" t="str">
        <f>A2.5.2!A1</f>
        <v>Table A2.5.2: Assessed individual taxpayers: Allowances - Travelling allowance (code 3701) by taxable income group, 2008 – 2011</v>
      </c>
    </row>
    <row r="35" spans="1:2">
      <c r="A35" s="192"/>
      <c r="B35" s="195" t="str">
        <f>'A2.5.2 continued'!A1</f>
        <v>Table A2.5.2: Assessed individual taxpayers: Allowances - Travelling allowance (code 3701) by taxable income group, 2008 – 2011 (continued)</v>
      </c>
    </row>
    <row r="36" spans="1:2" ht="15" customHeight="1">
      <c r="A36" s="192"/>
      <c r="B36" s="195" t="str">
        <f>A2.5.3!A1</f>
        <v>Table A2.5.3: Assessed individual taxpayers: Allowances - Share options exercised (code 3707) by taxable income group, 2008 – 2011</v>
      </c>
    </row>
    <row r="37" spans="1:2" ht="15" customHeight="1">
      <c r="A37" s="192"/>
      <c r="B37" s="195" t="str">
        <f>A2.5.4!A1</f>
        <v>Table A2.5.4: Assessed individual taxpayers: Allowances - Other allowance (code 3713)1 by taxable income group, 2008 – 2011</v>
      </c>
    </row>
    <row r="38" spans="1:2" ht="15" customHeight="1">
      <c r="A38" s="192"/>
      <c r="B38" s="193" t="str">
        <f>A2.6.1!A1</f>
        <v>Table A2.6.1: Assessed individual taxpayers: Fringe benefits, 2008 – 2011</v>
      </c>
    </row>
    <row r="39" spans="1:2" ht="15" customHeight="1">
      <c r="A39" s="192"/>
      <c r="B39" s="195" t="str">
        <f>A2.6.2!A1</f>
        <v>Table A2.6.2: Assessed individual taxpayers: Fringe benefits - Acquisition of asset at less than the actual value (code 3801)1 by taxable income group, 2008 – 2011</v>
      </c>
    </row>
    <row r="40" spans="1:2" ht="15" customHeight="1">
      <c r="A40" s="192"/>
      <c r="B40" s="195" t="str">
        <f>A2.6.3!A1</f>
        <v>Table A2.6.3: Assessed individual taxpayers: Fringe benefits - Use of motor vehicle (code 3802) by taxable income group, 2008 – 2011</v>
      </c>
    </row>
    <row r="41" spans="1:2" ht="15" customHeight="1">
      <c r="A41" s="192"/>
      <c r="B41" s="195" t="str">
        <f>'A2.6.3 continued'!A1</f>
        <v>Table A2.6.3: Assessed individual taxpayers: Fringe benefits - Use of motor vehicle (code 3802) by taxable income group, 2008 – 2011 (continued)</v>
      </c>
    </row>
    <row r="42" spans="1:2" ht="15" customHeight="1">
      <c r="A42" s="192"/>
      <c r="B42" s="195" t="str">
        <f>A2.6.4!A1</f>
        <v>Table A2.6.4: Assessed individual taxpayers: Fringe benefits - Medical aid paid on behalf of employee (code 3810) by taxable income group, 2008 – 2011</v>
      </c>
    </row>
    <row r="43" spans="1:2" ht="15" customHeight="1">
      <c r="A43" s="192"/>
      <c r="B43" s="195" t="str">
        <f>'A2.6.4 continued'!A1</f>
        <v>Table A2.6.4: Assessed individual taxpayers: Fringe benefits - Medical aid paid on behalf of employee (code 3810) by taxable income group, 2007 – 2010 (continued)</v>
      </c>
    </row>
    <row r="44" spans="1:2" ht="15" customHeight="1">
      <c r="A44" s="192"/>
      <c r="B44" s="193" t="str">
        <f>A2.7.1!A1</f>
        <v>Table A2.7.1: Assessed individual taxpayers: Deductions, 2008 – 2011</v>
      </c>
    </row>
    <row r="45" spans="1:2" ht="15" customHeight="1">
      <c r="A45" s="192"/>
      <c r="B45" s="195" t="str">
        <f>A2.7.2!A1</f>
        <v>Table A2.7.2: Assessed individual taxpayers: Deductions - Current pension fund contributions (code 4001) by taxable income group, 2008 – 2011</v>
      </c>
    </row>
    <row r="46" spans="1:2" ht="15" customHeight="1">
      <c r="A46" s="192"/>
      <c r="B46" s="195" t="str">
        <f>'A2.7.2 continued'!A1</f>
        <v>Table A2.7.2: Assessed individual taxpayers: Deductions - Current pension fund contributions (code 4001) by taxable income group, 2008 – 2011 (continued)</v>
      </c>
    </row>
    <row r="47" spans="1:2" ht="15" customHeight="1">
      <c r="A47" s="192"/>
      <c r="B47" s="195" t="str">
        <f>A2.7.3!A1</f>
        <v>Table A2.7.3: Assessed individual taxpayers: Deductions - Current retirement annuity fund contributions (code 4006) by taxable income group, 2008 – 2011</v>
      </c>
    </row>
    <row r="48" spans="1:2" ht="15" customHeight="1">
      <c r="A48" s="192"/>
      <c r="B48" s="195" t="str">
        <f>'A2.7.3 continued'!A1</f>
        <v>Table A2.7.3: Assessed individual taxpayers: Deductions - Current retirement annuity fund contributions (code 4006) by taxable income group, 2008 – 2011 (continued)</v>
      </c>
    </row>
    <row r="49" spans="1:2" ht="15" customHeight="1">
      <c r="A49" s="192"/>
      <c r="B49" s="195" t="str">
        <f>A2.7.4!A1</f>
        <v>Table A2.7.4: Assessed individual taxpayers: Deductions - Medical expenses (total) (code 4008) by taxable income group, 2008 – 2011</v>
      </c>
    </row>
    <row r="50" spans="1:2" ht="15" customHeight="1">
      <c r="A50" s="192"/>
      <c r="B50" s="195" t="str">
        <f>'A2.7.4 continued'!A1</f>
        <v>Table A2.7.4: Assessed individual taxpayers: Deductions - Medical expenses (total) (code 4008) by taxable income group, 2008 – 2011 (continued)</v>
      </c>
    </row>
    <row r="51" spans="1:2" ht="15" customHeight="1">
      <c r="A51" s="192"/>
      <c r="B51" s="195" t="str">
        <f>A2.7.5!A1</f>
        <v>Table A2.7.5: Assessed individual taxpayers: Deductions - Medical expenses (disabled) (code 4009) by taxable income group, 2008 – 2011</v>
      </c>
    </row>
    <row r="52" spans="1:2" ht="15" customHeight="1">
      <c r="A52" s="192"/>
      <c r="B52" s="195" t="str">
        <f>'A2.7.5 continued'!A1</f>
        <v>Table A2.7.5: Assessed individual taxpayers: Deductions - Medical expenses (disabled) (code 4009) by taxable income group, 2008 – 2011 (continued)</v>
      </c>
    </row>
    <row r="53" spans="1:2" ht="15" customHeight="1">
      <c r="A53" s="192"/>
      <c r="B53" s="561" t="str">
        <f>A2.7.6!A1</f>
        <v>Table A2.7.6: Assessed individual taxpayers: Deductions - Travel expenses (fixed cost - business cost claimed against travel allowance) (code 4014) by taxable income group, 2008 – 2011</v>
      </c>
    </row>
    <row r="54" spans="1:2" ht="15" customHeight="1">
      <c r="A54" s="192"/>
      <c r="B54" s="561" t="str">
        <f>'A2.7.6 continued'!A1</f>
        <v>Table A2.7.6: Assessed individual taxpayers: Deductions - Travel expenses (fixed cost - business cost claimed against travel allowance) (code 4014) by taxable income group, 2008 – 2011 (continued)</v>
      </c>
    </row>
    <row r="55" spans="1:2" ht="15" customHeight="1">
      <c r="A55" s="192"/>
      <c r="B55" s="195" t="str">
        <f>A2.7.7!A1</f>
        <v>Table A2.7.7: Assessed individual taxpayers: Deductions - Travel expenses (actual business cost) (code 4015) by taxable income group, 2008 – 2011</v>
      </c>
    </row>
    <row r="56" spans="1:2" ht="15" customHeight="1">
      <c r="A56" s="192"/>
      <c r="B56" s="195" t="str">
        <f>A2.7.8!A1</f>
        <v>Table A2.7.8: Assessed individual taxpayers: Deductions - Other (code 4016) by taxable income group, 2008 – 2011</v>
      </c>
    </row>
    <row r="57" spans="1:2" ht="15" customHeight="1">
      <c r="A57" s="308"/>
      <c r="B57" s="196" t="str">
        <f>'A2.7.8 continued'!A1</f>
        <v>Table A2.7.8: Assessed individual taxpayers: Deductions - Other (code 4016) by taxable income group, 2008 – 2011 (continued)</v>
      </c>
    </row>
    <row r="58" spans="1:2">
      <c r="B58" s="197"/>
    </row>
    <row r="59" spans="1:2">
      <c r="B59" s="197"/>
    </row>
    <row r="60" spans="1:2">
      <c r="B60" s="197"/>
    </row>
    <row r="61" spans="1:2">
      <c r="B61" s="197"/>
    </row>
    <row r="62" spans="1:2">
      <c r="B62" s="197"/>
    </row>
    <row r="63" spans="1:2">
      <c r="B63" s="197"/>
    </row>
    <row r="64" spans="1:2">
      <c r="B64" s="197"/>
    </row>
    <row r="65" spans="2:2">
      <c r="B65" s="197"/>
    </row>
    <row r="66" spans="2:2">
      <c r="B66" s="197"/>
    </row>
  </sheetData>
  <phoneticPr fontId="7" type="noConversion"/>
  <hyperlinks>
    <hyperlink ref="B3" location="'2.1'!A1" display="Table 2.1: Individual taxpayers: Provisional tax payments by provisional period, 2006/07 – 2010/11"/>
    <hyperlink ref="B4" location="'2.2'!A1" display="Table 2.2: Personal Income Tax (PIT) brackets, 2005/06 and 2010/11"/>
    <hyperlink ref="B6" location="'2.4'!A1" display="Table 2.4: Number of individual taxpayers, 2007 – 2010"/>
    <hyperlink ref="B11" location="'Fig 2.1'!A1" display="Figure 2.1: Number of assessed individual taxpayers and tax assessed, 2009"/>
    <hyperlink ref="B21" location="A2.1.1!A1" display="Table A2.1.1: Individual taxpayers: Taxable income and tax assessed by taxable income group, 2005 – 2008"/>
    <hyperlink ref="B23" location="A2.1.2!A1" display="Table A2.1.2: Assessed individual taxpayers: Taxable income and tax assessed by province, 2007 – 2010"/>
    <hyperlink ref="B25" location="A2.1.3!A1" display="Table A2.1.3: Assessed individual taxpayers: Taxable income and tax assessed by age group, 2007 – 2010"/>
    <hyperlink ref="B26" location="A2.1.4!A1" display="Table A2.1.4: Assessed individual taxpayers: Taxable income and tax assessed by gender, 2007 – 2010"/>
    <hyperlink ref="B30" location="A2.3.1!A1" display="Table A2.3.1: Individual taxpayers: Tax assessed by sector, 2006 – 2009"/>
    <hyperlink ref="B31" location="A2.3.2!A1" display="Table A2.3.2: Individual taxpayers: Tax assessed by sector, 2006 – 2009 [percentage of total]"/>
    <hyperlink ref="B32" location="A2.4.1!A1" display="Table A2.4.1: Individual taxpayers with business income: Taxable income and tax assessed by sector, 2006 – 2009"/>
    <hyperlink ref="B33" location="A2.5.1!A1" display="Table A2.5.1: Individual taxpayers: Allowances, 2006 – 2009"/>
    <hyperlink ref="B34" location="A2.5.2!A1" display="Table A2.5.2: Assessed individual taxpayers: Allowances - Travelling allowance (code 3701) by taxable income group, 2007 – 2010"/>
    <hyperlink ref="B36" location="A2.5.3!A1" display="Table A2.5.3: Assessed individual taxpayers: Allowances - Share options exercised (code 3707) by taxable income group, 2007 – 2010"/>
    <hyperlink ref="B37" location="A2.5.4!A1" display="Table A2.5.4: Assessed individual taxpayers: Allowances - Other allowance (code 3713) by taxable income group, 2007 – 2010"/>
    <hyperlink ref="B44" location="A2.7.1!A1" display="Table A2.7.1: Individual taxpayers: Deductions, 2006 – 2009"/>
    <hyperlink ref="B45" location="A2.7.2!A1" display="Table A2.7.2: Individual taxpayers: Deductions - Current pension fund contributions (code 4001) by taxable income group, 2006 – 2009"/>
    <hyperlink ref="B47" location="A2.7.3!A1" display="Table A2.7.3: Individual taxpayers: Deductions - Current pension fund contributions (code 4001) by taxable income group, 2006 – 2009 [percentage of total]"/>
    <hyperlink ref="B49" location="A2.7.4!A1" display="A2.7.4!A1"/>
    <hyperlink ref="B51" location="A2.7.5!A1" display="Table A2.7.5: Individual taxpayers: Deductions - Current retirement annuity fund contributions (code 4006) by taxable income group, 2006 – 2009 [percentage of total]"/>
    <hyperlink ref="B53" location="A2.7.6!A1" display="Table A2.7.6: Individual taxpayers: Deductions - Medical expenses (total) (code 4008) by taxable income group, 2006 – 2009"/>
    <hyperlink ref="B55" location="A2.7.7!A1" display="Table A2.7.7: Individual taxpayers: Deductions - Medical expenses (total) (code 4008) by taxable income group, 2006 – 2009 [percentage of total]"/>
    <hyperlink ref="B57" location="'A2.7.8 continued'!A1" display="'A2.7.8 continued'!A1"/>
    <hyperlink ref="B38" location="A2.6.1!A1" display="Table A2.6.1: Individual taxpayers: Fringe benefits, 2006 – 2009"/>
    <hyperlink ref="B39" location="A2.6.2!A1" display="Table A2.6.2: Assessed individual taxpayers: Fringe benefits - Acquisition of asset at less than the actual value (code 3801) by taxable income group, 2008 – 2010"/>
    <hyperlink ref="B40" location="A2.6.3!A1" display="Table A2.6.3: Assessed individual taxpayers: Fringe benefits - Use of motor vehicle (code 3802) by taxable income group, 2007 – 2010"/>
    <hyperlink ref="B42" location="A2.6.4!A1" display="Table A2.6.4: Assessed individual taxpayers: Fringe benefits - Medical aid paid on behalf of employee (code 3810) by taxable income group, 2007 – 2010"/>
    <hyperlink ref="B29" location="A2.2.1!A1" display="Table A2.2.1: Individual taxpayers: Source of income, 2006 – 2009"/>
    <hyperlink ref="B27" location="A2.1.5!A1" display="Table A2.1.5: Percentage of assessed individual taxpayers by taxable income group and gender, 2007 – 2010"/>
    <hyperlink ref="B12" location="'Fig 2.2'!A1" display="Figure 2.2: Percentage of assessed individual taxpayers by age group, 2006 – 2009"/>
    <hyperlink ref="B14" location="'Fig 2.4'!A1" display="Figure 2.4: Assessed individual taxpayers’ taxable income by source of income, 2008"/>
    <hyperlink ref="B15" location="'Fig 2.5'!A1" display="Figure 2.5: Assessed individual taxpayers’ tax assessed by sector, 2008"/>
    <hyperlink ref="B16" location="'Fig 2.6'!A1" display="Figure 2.6: Assessed individual taxpayers allowances, 2008"/>
    <hyperlink ref="B17" location="'Fig 2.7'!A1" display="Figure 2.7: Assessed individual taxpayers' fringe benefits, 2008"/>
    <hyperlink ref="B13" location="'Fig 2.3'!A1" display="Figure 2.3: Percentage male and female by taxable income group, 2009"/>
    <hyperlink ref="B18" location="'Fig 2.8'!A1" display="Figure 2.9: Assessed individual taxpayers' deductions, 2009"/>
    <hyperlink ref="B7" location="'2.5'!A1" display="Table 2.5: Assessed individual taxpayers: Summary of taxable income and tax assessed, 2007 – 2010"/>
    <hyperlink ref="B8" location="'2.6'!A1" display="Table 2.6: Distribution of assessed individual taxpayers over selected taxable income groups, 2007 – 2010"/>
    <hyperlink ref="B5" location="'2.3'!A1" display="Table 2.3: Tax relief granted to individuals since 1994/95"/>
    <hyperlink ref="B9" location="'2.7'!A1" display="Table 2.7: Taxpayers in income groups, deductions granted and taxable income"/>
    <hyperlink ref="B19" location="'Fig 2.9'!A1" display="Figure 2.9: Assessed individual taxpayers' deductions, 2011"/>
    <hyperlink ref="B28" location="A2.1.6!Print_Area" display="Table A2.1.6: Percentage of assessed individual taxpayers by taxable income group and gender, 2008 – 2011"/>
    <hyperlink ref="B22" location="'A2.1.1 continued'!A1" display="'A2.1.1 continued'!A1"/>
    <hyperlink ref="B24" location="'A2.1.2 continued'!A1" display="'A2.1.2 continued'!A1"/>
    <hyperlink ref="B35" location="'A2.5.2 continued'!A1" display="'A2.5.2 continued'!A1"/>
    <hyperlink ref="B41" location="'A2.6.3 continued'!A1" display="'A2.6.3 continued'!A1"/>
    <hyperlink ref="B43" location="'A2.6.4 continued'!A1" display="'A2.6.4 continued'!A1"/>
    <hyperlink ref="B46" location="'A2.7.2 continued'!A1" display="'A2.7.2 continued'!A1"/>
    <hyperlink ref="B56" location="A2.7.8!A1" display="A2.7.8!A1"/>
    <hyperlink ref="B54" location="'A2.7.6 continued'!A1" display="'A2.7.6 continued'!A1"/>
    <hyperlink ref="B52" location="'A2.7.5 continued'!A1" display="'A2.7.5 continued'!A1"/>
    <hyperlink ref="B50" location="'A2.7.4 continued'!A1" display="'A2.7.4 continued'!A1"/>
    <hyperlink ref="B48" location="'A2.7.3 continued'!A1" display="'A2.7.3 continued'!A1"/>
  </hyperlinks>
  <pageMargins left="0.98425196850393704" right="0.98425196850393704" top="0.98425196850393704" bottom="0.98425196850393704" header="0.51181102362204722" footer="0.51181102362204722"/>
  <pageSetup paperSize="9" scale="54"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Sheet16">
    <pageSetUpPr fitToPage="1"/>
  </sheetPr>
  <dimension ref="A1:AF41"/>
  <sheetViews>
    <sheetView showGridLines="0" zoomScaleNormal="100" zoomScaleSheetLayoutView="90" workbookViewId="0"/>
  </sheetViews>
  <sheetFormatPr defaultColWidth="9.140625" defaultRowHeight="15"/>
  <cols>
    <col min="1" max="1" width="2.5703125" style="430" customWidth="1"/>
    <col min="2" max="2" width="3.42578125" style="430" customWidth="1"/>
    <col min="3" max="3" width="6.7109375" style="430" bestFit="1" customWidth="1"/>
    <col min="4" max="4" width="13.5703125" style="430" bestFit="1" customWidth="1"/>
    <col min="5" max="5" width="15.85546875" style="430" bestFit="1" customWidth="1"/>
    <col min="6" max="6" width="11.28515625" style="430" bestFit="1" customWidth="1"/>
    <col min="7" max="7" width="17.7109375" style="430" bestFit="1" customWidth="1"/>
    <col min="8" max="8" width="8.140625" style="430" bestFit="1" customWidth="1"/>
    <col min="9" max="9" width="3.42578125" style="430" customWidth="1"/>
    <col min="10" max="10" width="12" style="430" bestFit="1" customWidth="1"/>
    <col min="11" max="11" width="8.140625" style="430" bestFit="1" customWidth="1"/>
    <col min="12" max="12" width="6" style="430" bestFit="1" customWidth="1"/>
    <col min="13" max="25" width="3.42578125" style="430" customWidth="1"/>
    <col min="26" max="26" width="3.85546875" style="430" customWidth="1"/>
    <col min="27" max="27" width="1.5703125" style="430" customWidth="1"/>
    <col min="28" max="28" width="11.28515625" style="430" bestFit="1" customWidth="1"/>
    <col min="29" max="29" width="10.85546875" style="430" bestFit="1" customWidth="1"/>
    <col min="30" max="30" width="9.140625" style="430"/>
    <col min="31" max="31" width="9.7109375" style="430" customWidth="1"/>
    <col min="32" max="16384" width="9.140625" style="430"/>
  </cols>
  <sheetData>
    <row r="1" spans="1:1">
      <c r="A1" s="458" t="s">
        <v>525</v>
      </c>
    </row>
    <row r="22" spans="1:32">
      <c r="D22" s="560" t="s">
        <v>506</v>
      </c>
    </row>
    <row r="23" spans="1:32">
      <c r="Z23" s="432"/>
      <c r="AA23" s="432"/>
      <c r="AB23" s="432"/>
      <c r="AC23" s="432"/>
      <c r="AD23" s="432"/>
      <c r="AE23" s="432"/>
      <c r="AF23" s="432"/>
    </row>
    <row r="24" spans="1:32">
      <c r="A24" s="431"/>
      <c r="B24" s="431"/>
      <c r="C24" s="431"/>
      <c r="D24" s="431"/>
      <c r="E24" s="431"/>
      <c r="F24" s="431"/>
      <c r="G24" s="431"/>
      <c r="H24" s="431"/>
      <c r="I24" s="431"/>
      <c r="J24" s="431"/>
      <c r="K24" s="431"/>
      <c r="L24" s="431"/>
      <c r="M24" s="431"/>
      <c r="N24" s="431"/>
      <c r="O24" s="431"/>
      <c r="P24" s="431"/>
      <c r="Q24" s="431"/>
      <c r="R24" s="431"/>
    </row>
    <row r="25" spans="1:32">
      <c r="A25" s="431"/>
      <c r="B25" s="431"/>
      <c r="C25" s="629" t="s">
        <v>489</v>
      </c>
      <c r="D25" s="630"/>
      <c r="E25" s="631"/>
      <c r="F25" s="631"/>
      <c r="G25" s="632"/>
      <c r="H25" s="448"/>
      <c r="I25" s="448"/>
      <c r="J25" s="448"/>
      <c r="K25" s="448"/>
      <c r="L25" s="448"/>
      <c r="M25" s="448"/>
      <c r="N25" s="431"/>
      <c r="O25" s="431"/>
      <c r="P25" s="431"/>
      <c r="Q25" s="431"/>
      <c r="R25" s="431"/>
    </row>
    <row r="26" spans="1:32">
      <c r="A26" s="431"/>
      <c r="B26" s="431"/>
      <c r="C26" s="633"/>
      <c r="D26" s="634" t="s">
        <v>455</v>
      </c>
      <c r="E26" s="634" t="s">
        <v>85</v>
      </c>
      <c r="F26" s="634" t="s">
        <v>461</v>
      </c>
      <c r="G26" s="634" t="s">
        <v>490</v>
      </c>
      <c r="H26" s="635"/>
      <c r="I26" s="448"/>
      <c r="J26" s="635"/>
      <c r="K26" s="448"/>
      <c r="L26" s="448"/>
      <c r="M26" s="448"/>
      <c r="N26" s="431"/>
      <c r="O26" s="431"/>
      <c r="P26" s="431"/>
      <c r="Q26" s="431"/>
      <c r="R26" s="431"/>
    </row>
    <row r="27" spans="1:32">
      <c r="A27" s="431"/>
      <c r="B27" s="431"/>
      <c r="C27" s="636" t="s">
        <v>454</v>
      </c>
      <c r="D27" s="637">
        <f>+A2.1.1!M30</f>
        <v>208381</v>
      </c>
      <c r="E27" s="638">
        <f>+A2.1.1!N30</f>
        <v>-22680.740278000001</v>
      </c>
      <c r="F27" s="638">
        <f>+A2.1.1!O30</f>
        <v>3.1468560000000001</v>
      </c>
      <c r="G27" s="636"/>
      <c r="H27" s="635"/>
      <c r="I27" s="635"/>
      <c r="J27" s="635"/>
      <c r="K27" s="448"/>
      <c r="L27" s="448"/>
      <c r="M27" s="448"/>
      <c r="N27" s="431"/>
      <c r="O27" s="431"/>
      <c r="P27" s="431"/>
      <c r="Q27" s="431"/>
      <c r="R27" s="431"/>
    </row>
    <row r="28" spans="1:32">
      <c r="A28" s="431"/>
      <c r="B28" s="431"/>
      <c r="C28" s="639" t="s">
        <v>459</v>
      </c>
      <c r="D28" s="640">
        <f>+A2.1.1!M31</f>
        <v>623557</v>
      </c>
      <c r="E28" s="641">
        <f>+A2.1.1!N31</f>
        <v>21406.785003999998</v>
      </c>
      <c r="F28" s="641">
        <f>+A2.1.1!O31</f>
        <v>29.244569000000002</v>
      </c>
      <c r="G28" s="642">
        <f>F28/E28</f>
        <v>1.3661355030442667E-3</v>
      </c>
      <c r="H28" s="635"/>
      <c r="I28" s="635"/>
      <c r="J28" s="635"/>
      <c r="K28" s="448"/>
      <c r="L28" s="448"/>
      <c r="M28" s="448"/>
      <c r="N28" s="431"/>
      <c r="O28" s="431"/>
      <c r="P28" s="431"/>
      <c r="Q28" s="431"/>
      <c r="R28" s="431"/>
    </row>
    <row r="29" spans="1:32">
      <c r="A29" s="431"/>
      <c r="B29" s="431"/>
      <c r="C29" s="639" t="s">
        <v>458</v>
      </c>
      <c r="D29" s="640">
        <f>+A2.1.1!M32</f>
        <v>1087178</v>
      </c>
      <c r="E29" s="641">
        <f>+A2.1.1!N32</f>
        <v>96976.401381000003</v>
      </c>
      <c r="F29" s="641">
        <f>+A2.1.1!O32</f>
        <v>5907.8784539999997</v>
      </c>
      <c r="G29" s="642">
        <f>F29/E29</f>
        <v>6.0920784540036507E-2</v>
      </c>
      <c r="H29" s="635"/>
      <c r="I29" s="635"/>
      <c r="J29" s="635"/>
      <c r="K29" s="448"/>
      <c r="L29" s="448"/>
      <c r="M29" s="448"/>
      <c r="N29" s="431"/>
      <c r="O29" s="431"/>
      <c r="P29" s="431"/>
      <c r="Q29" s="431"/>
      <c r="R29" s="431"/>
    </row>
    <row r="30" spans="1:32">
      <c r="A30" s="431"/>
      <c r="B30" s="431"/>
      <c r="C30" s="639" t="s">
        <v>457</v>
      </c>
      <c r="D30" s="640">
        <f>+A2.1.1!M33</f>
        <v>2163370</v>
      </c>
      <c r="E30" s="641">
        <f>+A2.1.1!N33</f>
        <v>454186.057844</v>
      </c>
      <c r="F30" s="641">
        <f>+A2.1.1!O33</f>
        <v>73058.120177000004</v>
      </c>
      <c r="G30" s="642">
        <f>F30/E30</f>
        <v>0.16085504809153212</v>
      </c>
      <c r="H30" s="635"/>
      <c r="I30" s="635"/>
      <c r="J30" s="635"/>
      <c r="K30" s="448"/>
      <c r="L30" s="448"/>
      <c r="M30" s="448"/>
      <c r="N30" s="431"/>
      <c r="O30" s="431"/>
      <c r="P30" s="431"/>
      <c r="Q30" s="431"/>
      <c r="R30" s="431"/>
    </row>
    <row r="31" spans="1:32">
      <c r="A31" s="431"/>
      <c r="B31" s="431"/>
      <c r="C31" s="639" t="s">
        <v>456</v>
      </c>
      <c r="D31" s="640">
        <f>+A2.1.1!M34</f>
        <v>440206</v>
      </c>
      <c r="E31" s="641">
        <f>+A2.1.1!N34</f>
        <v>335352.53976499999</v>
      </c>
      <c r="F31" s="641">
        <f>+A2.1.1!O34</f>
        <v>103164.570391</v>
      </c>
      <c r="G31" s="642">
        <f>F31/E31</f>
        <v>0.30763020451043283</v>
      </c>
      <c r="H31" s="635"/>
      <c r="I31" s="635"/>
      <c r="J31" s="635"/>
      <c r="K31" s="448"/>
      <c r="L31" s="448"/>
      <c r="M31" s="448"/>
      <c r="N31" s="431"/>
      <c r="O31" s="431"/>
      <c r="P31" s="431"/>
      <c r="Q31" s="431"/>
      <c r="R31" s="431"/>
    </row>
    <row r="32" spans="1:32">
      <c r="A32" s="431"/>
      <c r="B32" s="431"/>
      <c r="C32" s="633" t="s">
        <v>9</v>
      </c>
      <c r="D32" s="643">
        <f>+A2.1.1!M35</f>
        <v>4522692</v>
      </c>
      <c r="E32" s="644">
        <f>SUM(E27:E31)</f>
        <v>885241.04371600004</v>
      </c>
      <c r="F32" s="644">
        <f>+A2.1.1!O35</f>
        <v>182162.96044699999</v>
      </c>
      <c r="G32" s="645">
        <f>F32/E32</f>
        <v>0.20577780677941643</v>
      </c>
      <c r="H32" s="635"/>
      <c r="I32" s="449"/>
      <c r="J32" s="635"/>
      <c r="K32" s="448"/>
      <c r="L32" s="448"/>
      <c r="M32" s="448"/>
      <c r="N32" s="431"/>
      <c r="O32" s="431"/>
      <c r="P32" s="431"/>
      <c r="Q32" s="431"/>
      <c r="R32" s="431"/>
    </row>
    <row r="33" spans="1:18">
      <c r="A33" s="431"/>
      <c r="B33" s="431"/>
      <c r="C33" s="639"/>
      <c r="D33" s="639"/>
      <c r="E33" s="639"/>
      <c r="F33" s="639"/>
      <c r="G33" s="639"/>
      <c r="H33" s="448"/>
      <c r="I33" s="448"/>
      <c r="J33" s="448"/>
      <c r="K33" s="448"/>
      <c r="L33" s="448"/>
      <c r="M33" s="448"/>
      <c r="N33" s="431"/>
      <c r="O33" s="431"/>
      <c r="P33" s="431"/>
      <c r="Q33" s="431"/>
      <c r="R33" s="431"/>
    </row>
    <row r="34" spans="1:18">
      <c r="A34" s="431"/>
      <c r="B34" s="431"/>
      <c r="C34" s="633"/>
      <c r="D34" s="634" t="s">
        <v>455</v>
      </c>
      <c r="E34" s="634" t="s">
        <v>85</v>
      </c>
      <c r="F34" s="634" t="s">
        <v>460</v>
      </c>
      <c r="G34" s="633"/>
      <c r="H34" s="448"/>
      <c r="I34" s="448"/>
      <c r="J34" s="448"/>
      <c r="K34" s="448"/>
      <c r="L34" s="448"/>
      <c r="M34" s="448"/>
      <c r="N34" s="431"/>
      <c r="O34" s="431"/>
      <c r="P34" s="431"/>
      <c r="Q34" s="431"/>
      <c r="R34" s="431"/>
    </row>
    <row r="35" spans="1:18">
      <c r="A35" s="431"/>
      <c r="B35" s="431"/>
      <c r="C35" s="639" t="s">
        <v>454</v>
      </c>
      <c r="D35" s="646">
        <f>D27/D$32</f>
        <v>4.6074550289960048E-2</v>
      </c>
      <c r="E35" s="646">
        <v>0</v>
      </c>
      <c r="F35" s="646">
        <f t="shared" ref="F35" si="0">F27/F$32</f>
        <v>1.7274949815693033E-5</v>
      </c>
      <c r="G35" s="639"/>
      <c r="H35" s="448"/>
      <c r="I35" s="448"/>
      <c r="J35" s="448"/>
      <c r="K35" s="448"/>
      <c r="L35" s="448">
        <f>E27/E$32</f>
        <v>-2.5620976839022792E-2</v>
      </c>
      <c r="M35" s="448"/>
      <c r="N35" s="431"/>
      <c r="O35" s="431"/>
      <c r="P35" s="431"/>
      <c r="Q35" s="431"/>
      <c r="R35" s="431"/>
    </row>
    <row r="36" spans="1:18">
      <c r="A36" s="431"/>
      <c r="B36" s="431"/>
      <c r="C36" s="639" t="s">
        <v>517</v>
      </c>
      <c r="D36" s="646">
        <f t="shared" ref="D36:F39" si="1">D28/D$32</f>
        <v>0.13787297476812482</v>
      </c>
      <c r="E36" s="646">
        <f>L36/SUM($L$36:$L$39)*$L$35+L36</f>
        <v>2.3577785423134493E-2</v>
      </c>
      <c r="F36" s="646">
        <f t="shared" si="1"/>
        <v>1.6054069898863255E-4</v>
      </c>
      <c r="G36" s="639"/>
      <c r="H36" s="448"/>
      <c r="I36" s="448"/>
      <c r="J36" s="448">
        <f>E28/E$32*100</f>
        <v>2.4181871317376071</v>
      </c>
      <c r="K36" s="448"/>
      <c r="L36" s="448">
        <f t="shared" ref="L36:L39" si="2">E28/E$32</f>
        <v>2.418187131737607E-2</v>
      </c>
      <c r="M36" s="448"/>
      <c r="N36" s="431"/>
      <c r="O36" s="431"/>
      <c r="P36" s="431"/>
      <c r="Q36" s="431"/>
      <c r="R36" s="431"/>
    </row>
    <row r="37" spans="1:18">
      <c r="A37" s="431"/>
      <c r="B37" s="431"/>
      <c r="C37" s="639" t="s">
        <v>520</v>
      </c>
      <c r="D37" s="646">
        <f t="shared" si="1"/>
        <v>0.24038294007197483</v>
      </c>
      <c r="E37" s="646">
        <f t="shared" ref="E37:E39" si="3">L37/SUM($L$36:$L$39)*$L$35+L37</f>
        <v>0.10681140500274731</v>
      </c>
      <c r="F37" s="646">
        <f t="shared" si="1"/>
        <v>3.2431831583670856E-2</v>
      </c>
      <c r="G37" s="639"/>
      <c r="H37" s="448"/>
      <c r="I37" s="448"/>
      <c r="J37" s="448">
        <f t="shared" ref="J37:J39" si="4">E29/E$32*100</f>
        <v>10.954801753646619</v>
      </c>
      <c r="K37" s="448"/>
      <c r="L37" s="448">
        <f t="shared" si="2"/>
        <v>0.10954801753646619</v>
      </c>
      <c r="M37" s="448"/>
      <c r="N37" s="431"/>
      <c r="O37" s="431"/>
      <c r="P37" s="431"/>
      <c r="Q37" s="431"/>
      <c r="R37" s="431"/>
    </row>
    <row r="38" spans="1:18">
      <c r="A38" s="431"/>
      <c r="B38" s="431"/>
      <c r="C38" s="639" t="s">
        <v>518</v>
      </c>
      <c r="D38" s="646">
        <f t="shared" si="1"/>
        <v>0.47833679587290046</v>
      </c>
      <c r="E38" s="646">
        <f t="shared" si="3"/>
        <v>0.50024800137078929</v>
      </c>
      <c r="F38" s="646">
        <f t="shared" si="1"/>
        <v>0.40105913956232692</v>
      </c>
      <c r="G38" s="639"/>
      <c r="H38" s="448"/>
      <c r="I38" s="448"/>
      <c r="J38" s="448">
        <f t="shared" si="4"/>
        <v>51.306484382767771</v>
      </c>
      <c r="K38" s="448"/>
      <c r="L38" s="448">
        <f t="shared" si="2"/>
        <v>0.5130648438276777</v>
      </c>
      <c r="M38" s="448"/>
      <c r="N38" s="431"/>
      <c r="O38" s="431"/>
      <c r="P38" s="431"/>
      <c r="Q38" s="431"/>
      <c r="R38" s="431"/>
    </row>
    <row r="39" spans="1:18">
      <c r="A39" s="431"/>
      <c r="B39" s="431"/>
      <c r="C39" s="647" t="s">
        <v>519</v>
      </c>
      <c r="D39" s="648">
        <f t="shared" si="1"/>
        <v>9.7332738997039814E-2</v>
      </c>
      <c r="E39" s="648">
        <f t="shared" si="3"/>
        <v>0.36936280820332884</v>
      </c>
      <c r="F39" s="648">
        <f t="shared" si="1"/>
        <v>0.56633121320519797</v>
      </c>
      <c r="G39" s="647"/>
      <c r="H39" s="448"/>
      <c r="I39" s="448"/>
      <c r="J39" s="448">
        <f t="shared" si="4"/>
        <v>37.882624415750279</v>
      </c>
      <c r="K39" s="448"/>
      <c r="L39" s="448">
        <f t="shared" si="2"/>
        <v>0.37882624415750277</v>
      </c>
      <c r="M39" s="448"/>
      <c r="N39" s="431"/>
      <c r="O39" s="431"/>
      <c r="P39" s="431"/>
      <c r="Q39" s="431"/>
      <c r="R39" s="431"/>
    </row>
    <row r="40" spans="1:18">
      <c r="A40" s="431"/>
      <c r="B40" s="431"/>
      <c r="C40" s="447"/>
      <c r="D40" s="447"/>
      <c r="E40" s="447"/>
      <c r="F40" s="447"/>
      <c r="G40" s="447"/>
      <c r="H40" s="447"/>
      <c r="I40" s="447"/>
      <c r="J40" s="447"/>
      <c r="K40" s="431"/>
      <c r="L40" s="431"/>
      <c r="M40" s="431"/>
      <c r="N40" s="431"/>
      <c r="O40" s="431"/>
      <c r="P40" s="431"/>
      <c r="Q40" s="431"/>
      <c r="R40" s="431"/>
    </row>
    <row r="41" spans="1:18">
      <c r="A41" s="431"/>
      <c r="B41" s="431"/>
      <c r="C41" s="431"/>
      <c r="D41" s="431"/>
      <c r="E41" s="431"/>
      <c r="F41" s="431"/>
      <c r="G41" s="431"/>
      <c r="H41" s="431"/>
      <c r="I41" s="431"/>
      <c r="J41" s="431"/>
      <c r="K41" s="431"/>
      <c r="L41" s="431"/>
      <c r="M41" s="431"/>
      <c r="N41" s="431"/>
      <c r="O41" s="431"/>
      <c r="P41" s="431"/>
      <c r="Q41" s="431"/>
      <c r="R41" s="431"/>
    </row>
  </sheetData>
  <hyperlinks>
    <hyperlink ref="D22"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sheetPr>
    <pageSetUpPr fitToPage="1"/>
  </sheetPr>
  <dimension ref="A1:H49"/>
  <sheetViews>
    <sheetView showGridLines="0" zoomScaleNormal="100" zoomScaleSheetLayoutView="90" workbookViewId="0"/>
  </sheetViews>
  <sheetFormatPr defaultColWidth="9.140625" defaultRowHeight="12.75"/>
  <cols>
    <col min="1" max="1" width="0.85546875" customWidth="1"/>
    <col min="2" max="2" width="9.7109375" style="2" customWidth="1"/>
    <col min="3" max="5" width="12.28515625" style="2" customWidth="1"/>
    <col min="6" max="6" width="12.28515625" style="13" customWidth="1"/>
    <col min="7" max="7" width="12.28515625" style="68" customWidth="1"/>
    <col min="8" max="16384" width="9.140625" style="10"/>
  </cols>
  <sheetData>
    <row r="1" spans="1:8" customFormat="1" ht="15" customHeight="1">
      <c r="A1" s="697" t="s">
        <v>471</v>
      </c>
      <c r="B1" s="698"/>
      <c r="C1" s="698"/>
      <c r="D1" s="698"/>
      <c r="E1" s="698"/>
      <c r="F1" s="698"/>
      <c r="G1" s="698"/>
    </row>
    <row r="2" spans="1:8" customFormat="1" ht="13.35" customHeight="1">
      <c r="A2" s="1"/>
      <c r="B2" s="1"/>
      <c r="C2" s="1"/>
      <c r="D2" s="1"/>
      <c r="E2" s="1"/>
      <c r="F2" s="1"/>
      <c r="G2" s="1"/>
    </row>
    <row r="3" spans="1:8" customFormat="1" ht="13.35" customHeight="1">
      <c r="A3" s="1"/>
      <c r="B3" s="1"/>
      <c r="C3" s="1"/>
      <c r="D3" s="1"/>
      <c r="E3" s="1"/>
      <c r="F3" s="1"/>
      <c r="G3" s="1"/>
    </row>
    <row r="4" spans="1:8" customFormat="1" ht="13.35" customHeight="1">
      <c r="A4" s="1"/>
      <c r="B4" s="1"/>
      <c r="C4" s="1"/>
      <c r="D4" s="1"/>
      <c r="E4" s="1"/>
      <c r="F4" s="1"/>
      <c r="G4" s="1"/>
    </row>
    <row r="5" spans="1:8" customFormat="1" ht="13.35" customHeight="1">
      <c r="A5" s="1"/>
      <c r="B5" s="1"/>
      <c r="C5" s="1"/>
      <c r="D5" s="1"/>
      <c r="E5" s="1"/>
      <c r="F5" s="1"/>
      <c r="G5" s="1"/>
      <c r="H5" s="10"/>
    </row>
    <row r="6" spans="1:8" customFormat="1" ht="13.35" customHeight="1">
      <c r="A6" s="1"/>
      <c r="B6" s="1"/>
      <c r="C6" s="1"/>
      <c r="D6" s="1"/>
      <c r="E6" s="1"/>
      <c r="F6" s="1"/>
      <c r="G6" s="1"/>
    </row>
    <row r="7" spans="1:8" customFormat="1" ht="13.35" customHeight="1">
      <c r="A7" s="1"/>
      <c r="B7" s="1"/>
      <c r="C7" s="1"/>
      <c r="D7" s="1"/>
      <c r="E7" s="1"/>
      <c r="F7" s="1"/>
      <c r="G7" s="1"/>
    </row>
    <row r="8" spans="1:8" customFormat="1" ht="13.35" customHeight="1">
      <c r="A8" s="1"/>
      <c r="B8" s="1"/>
      <c r="C8" s="1"/>
      <c r="D8" s="1"/>
      <c r="E8" s="1"/>
      <c r="F8" s="1"/>
      <c r="G8" s="1"/>
    </row>
    <row r="9" spans="1:8" customFormat="1" ht="13.35" customHeight="1">
      <c r="A9" s="1"/>
      <c r="B9" s="1"/>
      <c r="C9" s="1"/>
      <c r="D9" s="1"/>
      <c r="E9" s="1"/>
      <c r="F9" s="1"/>
      <c r="G9" s="1"/>
    </row>
    <row r="10" spans="1:8" s="1" customFormat="1" ht="13.35" customHeight="1"/>
    <row r="11" spans="1:8" s="1" customFormat="1" ht="13.35" customHeight="1"/>
    <row r="12" spans="1:8" s="1" customFormat="1" ht="13.35" customHeight="1"/>
    <row r="13" spans="1:8" s="1" customFormat="1" ht="13.35" customHeight="1"/>
    <row r="14" spans="1:8" s="1" customFormat="1" ht="13.35" customHeight="1"/>
    <row r="15" spans="1:8" customFormat="1" ht="13.35" customHeight="1">
      <c r="A15" s="1"/>
      <c r="B15" s="1"/>
      <c r="C15" s="1"/>
      <c r="D15" s="1"/>
      <c r="E15" s="1"/>
      <c r="F15" s="1"/>
      <c r="G15" s="1"/>
    </row>
    <row r="16" spans="1:8" customFormat="1" ht="13.35" customHeight="1">
      <c r="A16" s="1"/>
      <c r="B16" s="1"/>
      <c r="C16" s="1"/>
      <c r="D16" s="1"/>
      <c r="E16" s="1"/>
      <c r="F16" s="1"/>
      <c r="G16" s="1"/>
    </row>
    <row r="17" spans="1:7" customFormat="1" ht="13.35" customHeight="1">
      <c r="A17" s="1"/>
      <c r="B17" s="1"/>
      <c r="C17" s="1"/>
      <c r="D17" s="1"/>
      <c r="E17" s="1"/>
      <c r="F17" s="1"/>
      <c r="G17" s="1"/>
    </row>
    <row r="18" spans="1:7" customFormat="1" ht="13.35" customHeight="1">
      <c r="A18" s="1"/>
      <c r="B18" s="1"/>
      <c r="C18" s="1"/>
      <c r="D18" s="1"/>
      <c r="E18" s="1"/>
      <c r="F18" s="1"/>
      <c r="G18" s="1"/>
    </row>
    <row r="19" spans="1:7" customFormat="1" ht="13.35" customHeight="1">
      <c r="A19" s="1"/>
      <c r="B19" s="1"/>
      <c r="C19" s="1"/>
      <c r="D19" s="1"/>
      <c r="E19" s="1"/>
      <c r="F19" s="1"/>
      <c r="G19" s="1"/>
    </row>
    <row r="20" spans="1:7" customFormat="1" ht="13.35" customHeight="1">
      <c r="A20" s="1"/>
      <c r="B20" s="1"/>
      <c r="C20" s="1"/>
      <c r="D20" s="1"/>
      <c r="E20" s="1"/>
      <c r="F20" s="1"/>
      <c r="G20" s="1"/>
    </row>
    <row r="21" spans="1:7" customFormat="1" ht="13.35" customHeight="1">
      <c r="A21" s="1"/>
      <c r="B21" s="1"/>
      <c r="C21" s="1"/>
      <c r="D21" s="1"/>
      <c r="E21" s="1"/>
      <c r="F21" s="1"/>
      <c r="G21" s="1"/>
    </row>
    <row r="22" spans="1:7" customFormat="1" ht="13.35" customHeight="1">
      <c r="G22" s="1"/>
    </row>
    <row r="23" spans="1:7" customFormat="1" ht="13.35" customHeight="1">
      <c r="D23" s="560" t="s">
        <v>506</v>
      </c>
      <c r="G23" s="1"/>
    </row>
    <row r="24" spans="1:7" customFormat="1" ht="13.35" customHeight="1">
      <c r="G24" s="1"/>
    </row>
    <row r="25" spans="1:7" customFormat="1" ht="13.35" customHeight="1">
      <c r="G25" s="1"/>
    </row>
    <row r="26" spans="1:7" customFormat="1" ht="13.35" customHeight="1">
      <c r="B26" s="207" t="s">
        <v>364</v>
      </c>
      <c r="C26" s="208"/>
      <c r="D26" s="208"/>
      <c r="E26" s="208"/>
      <c r="F26" s="209"/>
      <c r="G26" s="1"/>
    </row>
    <row r="27" spans="1:7" customFormat="1" ht="13.35" customHeight="1">
      <c r="B27" s="240" t="s">
        <v>183</v>
      </c>
      <c r="C27" s="241" t="s">
        <v>217</v>
      </c>
      <c r="D27" s="242" t="s">
        <v>218</v>
      </c>
      <c r="E27" s="242" t="s">
        <v>238</v>
      </c>
      <c r="F27" s="243" t="s">
        <v>429</v>
      </c>
      <c r="G27" s="6"/>
    </row>
    <row r="28" spans="1:7" customFormat="1" ht="13.35" customHeight="1">
      <c r="B28" s="433" t="s">
        <v>173</v>
      </c>
      <c r="C28" s="32"/>
      <c r="D28" s="32"/>
      <c r="E28" s="32"/>
      <c r="F28" s="211"/>
      <c r="G28" s="6"/>
    </row>
    <row r="29" spans="1:7" customFormat="1" ht="13.35" customHeight="1">
      <c r="B29" s="212" t="s">
        <v>10</v>
      </c>
      <c r="C29" s="19">
        <f>A2.1.3!D4</f>
        <v>327619</v>
      </c>
      <c r="D29" s="19">
        <f>A2.1.3!G4</f>
        <v>354956</v>
      </c>
      <c r="E29" s="19">
        <f>A2.1.3!J4</f>
        <v>371225</v>
      </c>
      <c r="F29" s="213">
        <f>A2.1.3!M4</f>
        <v>366993</v>
      </c>
      <c r="G29" s="6"/>
    </row>
    <row r="30" spans="1:7" customFormat="1" ht="13.35" customHeight="1">
      <c r="B30" s="212" t="s">
        <v>11</v>
      </c>
      <c r="C30" s="19">
        <f>A2.1.3!D5</f>
        <v>182484</v>
      </c>
      <c r="D30" s="19">
        <f>A2.1.3!G5</f>
        <v>197974</v>
      </c>
      <c r="E30" s="19">
        <f>A2.1.3!J5</f>
        <v>203577</v>
      </c>
      <c r="F30" s="213">
        <f>A2.1.3!M5</f>
        <v>200373</v>
      </c>
      <c r="G30" s="6"/>
    </row>
    <row r="31" spans="1:7" customFormat="1" ht="13.35" customHeight="1">
      <c r="B31" s="212" t="s">
        <v>12</v>
      </c>
      <c r="C31" s="19">
        <f>A2.1.3!D6</f>
        <v>1673707</v>
      </c>
      <c r="D31" s="19">
        <f>A2.1.3!G6</f>
        <v>1786354</v>
      </c>
      <c r="E31" s="19">
        <f>A2.1.3!J6</f>
        <v>1841887</v>
      </c>
      <c r="F31" s="213">
        <f>A2.1.3!M6</f>
        <v>1820063</v>
      </c>
      <c r="G31" s="6"/>
    </row>
    <row r="32" spans="1:7" customFormat="1" ht="13.35" customHeight="1">
      <c r="B32" s="212" t="s">
        <v>70</v>
      </c>
      <c r="C32" s="19">
        <f>A2.1.3!D7</f>
        <v>629469</v>
      </c>
      <c r="D32" s="19">
        <f>A2.1.3!G7</f>
        <v>670435</v>
      </c>
      <c r="E32" s="19">
        <f>A2.1.3!J7</f>
        <v>693858</v>
      </c>
      <c r="F32" s="213">
        <f>A2.1.3!M7</f>
        <v>669835</v>
      </c>
      <c r="G32" s="6"/>
    </row>
    <row r="33" spans="2:7" customFormat="1" ht="13.35" customHeight="1">
      <c r="B33" s="212" t="s">
        <v>13</v>
      </c>
      <c r="C33" s="19">
        <f>A2.1.3!D8</f>
        <v>167468</v>
      </c>
      <c r="D33" s="19">
        <f>A2.1.3!G8</f>
        <v>182962</v>
      </c>
      <c r="E33" s="19">
        <f>A2.1.3!J8</f>
        <v>199914</v>
      </c>
      <c r="F33" s="213">
        <f>A2.1.3!M8</f>
        <v>206857</v>
      </c>
      <c r="G33" s="6"/>
    </row>
    <row r="34" spans="2:7" ht="13.35" customHeight="1">
      <c r="B34" s="212" t="s">
        <v>14</v>
      </c>
      <c r="C34" s="19">
        <f>A2.1.3!D9</f>
        <v>201340</v>
      </c>
      <c r="D34" s="19">
        <f>A2.1.3!G9</f>
        <v>224505</v>
      </c>
      <c r="E34" s="19">
        <f>A2.1.3!J9</f>
        <v>241842</v>
      </c>
      <c r="F34" s="213">
        <f>A2.1.3!M9</f>
        <v>254608</v>
      </c>
      <c r="G34" s="6"/>
    </row>
    <row r="35" spans="2:7" ht="13.35" customHeight="1">
      <c r="B35" s="212" t="s">
        <v>15</v>
      </c>
      <c r="C35" s="19">
        <f>A2.1.3!D10</f>
        <v>169858</v>
      </c>
      <c r="D35" s="19">
        <f>A2.1.3!G10</f>
        <v>187684</v>
      </c>
      <c r="E35" s="19">
        <f>A2.1.3!J10</f>
        <v>202030</v>
      </c>
      <c r="F35" s="213">
        <f>A2.1.3!M10</f>
        <v>203037</v>
      </c>
      <c r="G35" s="6"/>
    </row>
    <row r="36" spans="2:7" ht="13.35" customHeight="1">
      <c r="B36" s="212" t="s">
        <v>16</v>
      </c>
      <c r="C36" s="19">
        <f>A2.1.3!D11</f>
        <v>61404</v>
      </c>
      <c r="D36" s="19">
        <f>A2.1.3!G11</f>
        <v>68474</v>
      </c>
      <c r="E36" s="19">
        <f>A2.1.3!J11</f>
        <v>73704</v>
      </c>
      <c r="F36" s="213">
        <f>A2.1.3!M11</f>
        <v>74986</v>
      </c>
      <c r="G36" s="6"/>
    </row>
    <row r="37" spans="2:7" ht="13.35" customHeight="1">
      <c r="B37" s="212" t="s">
        <v>17</v>
      </c>
      <c r="C37" s="19">
        <f>A2.1.3!D12</f>
        <v>709882</v>
      </c>
      <c r="D37" s="19">
        <f>A2.1.3!G12</f>
        <v>747063</v>
      </c>
      <c r="E37" s="19">
        <f>A2.1.3!J12</f>
        <v>756482</v>
      </c>
      <c r="F37" s="213">
        <f>A2.1.3!M12</f>
        <v>725940</v>
      </c>
      <c r="G37" s="6"/>
    </row>
    <row r="38" spans="2:7" ht="13.35" customHeight="1">
      <c r="B38" s="214" t="s">
        <v>9</v>
      </c>
      <c r="C38" s="111">
        <f t="shared" ref="C38" si="0">SUM(C29:C37)</f>
        <v>4123231</v>
      </c>
      <c r="D38" s="111">
        <f>SUM(D29:D37)</f>
        <v>4420407</v>
      </c>
      <c r="E38" s="111">
        <f>SUM(E29:E37)</f>
        <v>4584519</v>
      </c>
      <c r="F38" s="215">
        <f>SUM(F29:F37)</f>
        <v>4522692</v>
      </c>
      <c r="G38" s="6"/>
    </row>
    <row r="39" spans="2:7" ht="13.35" customHeight="1">
      <c r="B39" s="234"/>
      <c r="C39" s="235"/>
      <c r="D39" s="235"/>
      <c r="E39" s="235"/>
      <c r="F39" s="236"/>
    </row>
    <row r="40" spans="2:7" ht="13.35" customHeight="1">
      <c r="B40" s="212" t="s">
        <v>10</v>
      </c>
      <c r="C40" s="162">
        <f>A2.1.3!D15</f>
        <v>7.945686283402506E-2</v>
      </c>
      <c r="D40" s="162">
        <f>A2.1.3!G15</f>
        <v>8.0299393245916048E-2</v>
      </c>
      <c r="E40" s="162">
        <f>A2.1.3!J15</f>
        <v>8.0973598320783491E-2</v>
      </c>
      <c r="F40" s="216">
        <f>A2.1.3!M15</f>
        <v>8.1144813752517309E-2</v>
      </c>
    </row>
    <row r="41" spans="2:7" ht="13.35" customHeight="1">
      <c r="B41" s="212" t="s">
        <v>11</v>
      </c>
      <c r="C41" s="162">
        <f>A2.1.3!D16</f>
        <v>4.4257525227182272E-2</v>
      </c>
      <c r="D41" s="162">
        <f>A2.1.3!G16</f>
        <v>4.4786373743413217E-2</v>
      </c>
      <c r="E41" s="162">
        <f>A2.1.3!J16</f>
        <v>4.4405312749276421E-2</v>
      </c>
      <c r="F41" s="216">
        <f>A2.1.3!M16</f>
        <v>4.4303923415523319E-2</v>
      </c>
    </row>
    <row r="42" spans="2:7" ht="13.35" customHeight="1">
      <c r="B42" s="212" t="s">
        <v>12</v>
      </c>
      <c r="C42" s="162">
        <f>A2.1.3!D17</f>
        <v>0.40592123021969906</v>
      </c>
      <c r="D42" s="162">
        <f>A2.1.3!G17</f>
        <v>0.4041152771679169</v>
      </c>
      <c r="E42" s="162">
        <f>A2.1.3!J17</f>
        <v>0.40176232228506414</v>
      </c>
      <c r="F42" s="216">
        <f>A2.1.3!M17</f>
        <v>0.40242912849249962</v>
      </c>
    </row>
    <row r="43" spans="2:7" ht="13.35" customHeight="1">
      <c r="B43" s="212" t="s">
        <v>70</v>
      </c>
      <c r="C43" s="162">
        <f>A2.1.3!D18</f>
        <v>0.15266401518614892</v>
      </c>
      <c r="D43" s="162">
        <f>A2.1.3!G18</f>
        <v>0.15166816087296939</v>
      </c>
      <c r="E43" s="162">
        <f>A2.1.3!J18</f>
        <v>0.15134804763596793</v>
      </c>
      <c r="F43" s="216">
        <f>A2.1.3!M18</f>
        <v>0.14810537617861222</v>
      </c>
    </row>
    <row r="44" spans="2:7" ht="13.35" customHeight="1">
      <c r="B44" s="212" t="s">
        <v>13</v>
      </c>
      <c r="C44" s="162">
        <f>A2.1.3!D19</f>
        <v>4.0615721020723798E-2</v>
      </c>
      <c r="D44" s="162">
        <f>A2.1.3!G19</f>
        <v>4.1390306367716817E-2</v>
      </c>
      <c r="E44" s="162">
        <f>A2.1.3!J19</f>
        <v>4.3606319441581547E-2</v>
      </c>
      <c r="F44" s="216">
        <f>A2.1.3!M19</f>
        <v>4.5737582837831983E-2</v>
      </c>
    </row>
    <row r="45" spans="2:7" ht="13.35" customHeight="1">
      <c r="B45" s="212" t="s">
        <v>14</v>
      </c>
      <c r="C45" s="162">
        <f>A2.1.3!D20</f>
        <v>4.8830637914780907E-2</v>
      </c>
      <c r="D45" s="162">
        <f>A2.1.3!G20</f>
        <v>5.0788309764236643E-2</v>
      </c>
      <c r="E45" s="162">
        <f>A2.1.3!J20</f>
        <v>5.2751880840716331E-2</v>
      </c>
      <c r="F45" s="216">
        <f>A2.1.3!M20</f>
        <v>5.6295675230592757E-2</v>
      </c>
    </row>
    <row r="46" spans="2:7" ht="13.35" customHeight="1">
      <c r="B46" s="212" t="s">
        <v>15</v>
      </c>
      <c r="C46" s="162">
        <f>A2.1.3!D21</f>
        <v>4.1195363538933424E-2</v>
      </c>
      <c r="D46" s="162">
        <f>A2.1.3!G21</f>
        <v>4.2458533795643703E-2</v>
      </c>
      <c r="E46" s="162">
        <f>A2.1.3!J21</f>
        <v>4.4067872769204361E-2</v>
      </c>
      <c r="F46" s="216">
        <f>A2.1.3!M21</f>
        <v>4.4892953134991281E-2</v>
      </c>
    </row>
    <row r="47" spans="2:7" ht="13.35" customHeight="1">
      <c r="B47" s="212" t="s">
        <v>16</v>
      </c>
      <c r="C47" s="162">
        <f>A2.1.3!D22</f>
        <v>1.4892204681231782E-2</v>
      </c>
      <c r="D47" s="162">
        <f>A2.1.3!G22</f>
        <v>1.5490428822504353E-2</v>
      </c>
      <c r="E47" s="162">
        <f>A2.1.3!J22</f>
        <v>1.6076713827557484E-2</v>
      </c>
      <c r="F47" s="216">
        <f>A2.1.3!M22</f>
        <v>1.657994840241166E-2</v>
      </c>
    </row>
    <row r="48" spans="2:7" ht="13.35" customHeight="1">
      <c r="B48" s="217" t="s">
        <v>17</v>
      </c>
      <c r="C48" s="218">
        <f>A2.1.3!D23</f>
        <v>0.17216643937727477</v>
      </c>
      <c r="D48" s="218">
        <f>A2.1.3!G23</f>
        <v>0.16900321621968295</v>
      </c>
      <c r="E48" s="218">
        <f>A2.1.3!J23</f>
        <v>0.16500793212984829</v>
      </c>
      <c r="F48" s="219">
        <f>A2.1.3!M23</f>
        <v>0.1605105985550199</v>
      </c>
    </row>
    <row r="49" ht="13.35" customHeight="1"/>
  </sheetData>
  <mergeCells count="1">
    <mergeCell ref="A1:G1"/>
  </mergeCells>
  <hyperlinks>
    <hyperlink ref="D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sheetPr codeName="Sheet8" enableFormatConditionsCalculation="0">
    <pageSetUpPr fitToPage="1"/>
  </sheetPr>
  <dimension ref="A1:H46"/>
  <sheetViews>
    <sheetView showGridLines="0" zoomScaleNormal="100" zoomScaleSheetLayoutView="90" workbookViewId="0"/>
  </sheetViews>
  <sheetFormatPr defaultColWidth="9.140625" defaultRowHeight="12.75"/>
  <cols>
    <col min="1" max="1" width="0.85546875" customWidth="1"/>
    <col min="2" max="2" width="9.7109375" style="2" customWidth="1"/>
    <col min="3" max="5" width="12.28515625" style="2" customWidth="1"/>
    <col min="6" max="6" width="12.28515625" style="13" customWidth="1"/>
    <col min="7" max="7" width="12.28515625" style="68" customWidth="1"/>
    <col min="8" max="16384" width="9.140625" style="10"/>
  </cols>
  <sheetData>
    <row r="1" spans="1:8" customFormat="1" ht="15" customHeight="1">
      <c r="A1" s="699" t="s">
        <v>472</v>
      </c>
      <c r="B1" s="700"/>
      <c r="C1" s="700"/>
      <c r="D1" s="700"/>
      <c r="E1" s="700"/>
      <c r="F1" s="700"/>
      <c r="G1" s="700"/>
    </row>
    <row r="2" spans="1:8" customFormat="1" ht="13.35" customHeight="1">
      <c r="A2" s="1"/>
      <c r="B2" s="1"/>
      <c r="C2" s="1"/>
      <c r="D2" s="1"/>
      <c r="E2" s="1"/>
      <c r="F2" s="1"/>
      <c r="G2" s="1"/>
    </row>
    <row r="3" spans="1:8" customFormat="1" ht="13.35" customHeight="1">
      <c r="A3" s="1"/>
      <c r="B3" s="1"/>
      <c r="C3" s="1"/>
      <c r="D3" s="1"/>
      <c r="E3" s="1"/>
      <c r="F3" s="1"/>
      <c r="G3" s="1"/>
    </row>
    <row r="4" spans="1:8" customFormat="1" ht="13.35" customHeight="1">
      <c r="A4" s="1"/>
      <c r="B4" s="1"/>
      <c r="C4" s="1"/>
      <c r="D4" s="1"/>
      <c r="E4" s="1"/>
      <c r="F4" s="1"/>
      <c r="G4" s="1"/>
    </row>
    <row r="5" spans="1:8" customFormat="1" ht="13.35" customHeight="1">
      <c r="A5" s="1"/>
      <c r="B5" s="1"/>
      <c r="C5" s="1"/>
      <c r="D5" s="1"/>
      <c r="E5" s="1"/>
      <c r="F5" s="1"/>
      <c r="G5" s="1"/>
      <c r="H5" s="10"/>
    </row>
    <row r="6" spans="1:8" customFormat="1" ht="13.35" customHeight="1">
      <c r="A6" s="1"/>
      <c r="B6" s="1"/>
      <c r="C6" s="1"/>
      <c r="D6" s="1"/>
      <c r="E6" s="1"/>
      <c r="F6" s="1"/>
      <c r="G6" s="1"/>
    </row>
    <row r="7" spans="1:8" customFormat="1" ht="13.35" customHeight="1">
      <c r="A7" s="1"/>
      <c r="B7" s="1"/>
      <c r="C7" s="1"/>
      <c r="D7" s="1"/>
      <c r="E7" s="1"/>
      <c r="F7" s="1"/>
      <c r="G7" s="1"/>
    </row>
    <row r="8" spans="1:8" customFormat="1" ht="13.35" customHeight="1">
      <c r="A8" s="1"/>
      <c r="B8" s="1"/>
      <c r="C8" s="1"/>
      <c r="D8" s="1"/>
      <c r="E8" s="1"/>
      <c r="F8" s="1"/>
      <c r="G8" s="1"/>
    </row>
    <row r="9" spans="1:8" customFormat="1" ht="13.35" customHeight="1">
      <c r="A9" s="1"/>
      <c r="B9" s="1"/>
      <c r="C9" s="1"/>
      <c r="D9" s="1"/>
      <c r="E9" s="1"/>
      <c r="F9" s="1"/>
      <c r="G9" s="1"/>
    </row>
    <row r="10" spans="1:8" s="1" customFormat="1" ht="13.35" customHeight="1"/>
    <row r="11" spans="1:8" s="1" customFormat="1" ht="13.35" customHeight="1"/>
    <row r="12" spans="1:8" s="1" customFormat="1" ht="13.35" customHeight="1"/>
    <row r="13" spans="1:8" s="1" customFormat="1" ht="13.35" customHeight="1"/>
    <row r="14" spans="1:8" s="1" customFormat="1" ht="13.35" customHeight="1"/>
    <row r="15" spans="1:8" customFormat="1" ht="13.35" customHeight="1">
      <c r="A15" s="1"/>
      <c r="B15" s="1"/>
      <c r="C15" s="1"/>
      <c r="D15" s="1"/>
      <c r="E15" s="1"/>
      <c r="F15" s="1"/>
      <c r="G15" s="1"/>
    </row>
    <row r="16" spans="1:8" customFormat="1" ht="13.35" customHeight="1">
      <c r="A16" s="1"/>
      <c r="B16" s="1"/>
      <c r="C16" s="1"/>
      <c r="D16" s="1"/>
      <c r="E16" s="1"/>
      <c r="F16" s="1"/>
      <c r="G16" s="1"/>
    </row>
    <row r="17" spans="1:7" customFormat="1" ht="13.35" customHeight="1">
      <c r="A17" s="1"/>
      <c r="B17" s="1"/>
      <c r="C17" s="1"/>
      <c r="D17" s="1"/>
      <c r="E17" s="1"/>
      <c r="F17" s="1"/>
      <c r="G17" s="1"/>
    </row>
    <row r="18" spans="1:7" customFormat="1" ht="13.35" customHeight="1">
      <c r="A18" s="1"/>
      <c r="B18" s="1"/>
      <c r="C18" s="1"/>
      <c r="D18" s="1"/>
      <c r="E18" s="1"/>
      <c r="F18" s="1"/>
      <c r="G18" s="1"/>
    </row>
    <row r="19" spans="1:7" customFormat="1" ht="13.35" customHeight="1">
      <c r="A19" s="1"/>
      <c r="B19" s="1"/>
      <c r="C19" s="1"/>
      <c r="D19" s="1"/>
      <c r="E19" s="1"/>
      <c r="F19" s="1"/>
      <c r="G19" s="1"/>
    </row>
    <row r="20" spans="1:7" customFormat="1" ht="13.35" customHeight="1">
      <c r="A20" s="1"/>
      <c r="B20" s="1"/>
      <c r="C20" s="1"/>
      <c r="D20" s="1"/>
      <c r="E20" s="1"/>
      <c r="F20" s="1"/>
      <c r="G20" s="1"/>
    </row>
    <row r="21" spans="1:7" customFormat="1" ht="13.35" customHeight="1">
      <c r="A21" s="1"/>
      <c r="B21" s="1"/>
      <c r="C21" s="1"/>
      <c r="D21" s="1"/>
      <c r="E21" s="1"/>
      <c r="F21" s="1"/>
      <c r="G21" s="1"/>
    </row>
    <row r="22" spans="1:7" customFormat="1" ht="13.35" customHeight="1">
      <c r="A22" s="126"/>
      <c r="B22" s="1"/>
      <c r="C22" s="1"/>
      <c r="D22" s="1"/>
      <c r="E22" s="1"/>
      <c r="F22" s="1"/>
      <c r="G22" s="1"/>
    </row>
    <row r="23" spans="1:7" customFormat="1" ht="13.35" customHeight="1">
      <c r="A23" s="1"/>
      <c r="B23" s="1"/>
      <c r="C23" s="1"/>
      <c r="D23" s="560" t="s">
        <v>506</v>
      </c>
      <c r="E23" s="1"/>
      <c r="F23" s="1"/>
      <c r="G23" s="1"/>
    </row>
    <row r="24" spans="1:7" customFormat="1" ht="13.35" customHeight="1">
      <c r="G24" s="1"/>
    </row>
    <row r="25" spans="1:7" customFormat="1" ht="13.35" customHeight="1">
      <c r="B25" s="207" t="s">
        <v>364</v>
      </c>
      <c r="C25" s="208"/>
      <c r="D25" s="208"/>
      <c r="E25" s="208"/>
      <c r="F25" s="209"/>
      <c r="G25" s="1"/>
    </row>
    <row r="26" spans="1:7" customFormat="1" ht="13.35" customHeight="1">
      <c r="B26" s="240" t="s">
        <v>183</v>
      </c>
      <c r="C26" s="241" t="s">
        <v>217</v>
      </c>
      <c r="D26" s="242" t="s">
        <v>218</v>
      </c>
      <c r="E26" s="242" t="s">
        <v>238</v>
      </c>
      <c r="F26" s="243" t="s">
        <v>429</v>
      </c>
      <c r="G26" s="6"/>
    </row>
    <row r="27" spans="1:7" customFormat="1" ht="13.35" customHeight="1">
      <c r="B27" s="237" t="s">
        <v>173</v>
      </c>
      <c r="C27" s="32"/>
      <c r="D27" s="32"/>
      <c r="E27" s="32"/>
      <c r="F27" s="211"/>
      <c r="G27" s="6"/>
    </row>
    <row r="28" spans="1:7" customFormat="1" ht="13.35" customHeight="1">
      <c r="B28" s="212" t="s">
        <v>104</v>
      </c>
      <c r="C28" s="19">
        <f>A2.1.4!D4</f>
        <v>19002</v>
      </c>
      <c r="D28" s="19">
        <f>A2.1.4!G4</f>
        <v>19232</v>
      </c>
      <c r="E28" s="19">
        <f>A2.1.4!J4</f>
        <v>18945</v>
      </c>
      <c r="F28" s="213">
        <f>A2.1.4!M4</f>
        <v>17544</v>
      </c>
      <c r="G28" s="6"/>
    </row>
    <row r="29" spans="1:7" customFormat="1" ht="13.35" customHeight="1">
      <c r="B29" s="212" t="s">
        <v>105</v>
      </c>
      <c r="C29" s="19">
        <f>A2.1.4!D5</f>
        <v>139307</v>
      </c>
      <c r="D29" s="19">
        <f>A2.1.4!G5</f>
        <v>151249</v>
      </c>
      <c r="E29" s="19">
        <f>A2.1.4!J5</f>
        <v>152689</v>
      </c>
      <c r="F29" s="213">
        <f>A2.1.4!M5</f>
        <v>160092</v>
      </c>
      <c r="G29" s="6"/>
    </row>
    <row r="30" spans="1:7" customFormat="1" ht="13.35" customHeight="1">
      <c r="B30" s="212" t="s">
        <v>106</v>
      </c>
      <c r="C30" s="19">
        <f>A2.1.4!D6</f>
        <v>935766</v>
      </c>
      <c r="D30" s="19">
        <f>A2.1.4!G6</f>
        <v>1028022</v>
      </c>
      <c r="E30" s="19">
        <f>A2.1.4!J6</f>
        <v>1090340</v>
      </c>
      <c r="F30" s="213">
        <f>A2.1.4!M6</f>
        <v>1119754</v>
      </c>
      <c r="G30" s="6"/>
    </row>
    <row r="31" spans="1:7" customFormat="1" ht="13.35" customHeight="1">
      <c r="B31" s="212" t="s">
        <v>107</v>
      </c>
      <c r="C31" s="19">
        <f>A2.1.4!D7</f>
        <v>1181803</v>
      </c>
      <c r="D31" s="19">
        <f>A2.1.4!G7</f>
        <v>1252980</v>
      </c>
      <c r="E31" s="19">
        <f>A2.1.4!J7</f>
        <v>1280571</v>
      </c>
      <c r="F31" s="213">
        <f>A2.1.4!M7</f>
        <v>1245472</v>
      </c>
      <c r="G31" s="6"/>
    </row>
    <row r="32" spans="1:7" customFormat="1" ht="13.35" customHeight="1">
      <c r="B32" s="212" t="s">
        <v>108</v>
      </c>
      <c r="C32" s="19">
        <f>A2.1.4!D8</f>
        <v>960006</v>
      </c>
      <c r="D32" s="19">
        <f>A2.1.4!G8</f>
        <v>1021714</v>
      </c>
      <c r="E32" s="19">
        <f>A2.1.4!J8</f>
        <v>1048174</v>
      </c>
      <c r="F32" s="213">
        <f>A2.1.4!M8</f>
        <v>1007806</v>
      </c>
      <c r="G32" s="6"/>
    </row>
    <row r="33" spans="2:7" ht="13.35" customHeight="1">
      <c r="B33" s="212" t="s">
        <v>109</v>
      </c>
      <c r="C33" s="19">
        <f>A2.1.4!D9</f>
        <v>555692</v>
      </c>
      <c r="D33" s="19">
        <f>A2.1.4!G9</f>
        <v>596311</v>
      </c>
      <c r="E33" s="19">
        <f>A2.1.4!J9</f>
        <v>625480</v>
      </c>
      <c r="F33" s="213">
        <f>A2.1.4!M9</f>
        <v>605850</v>
      </c>
      <c r="G33" s="6"/>
    </row>
    <row r="34" spans="2:7" ht="13.35" customHeight="1">
      <c r="B34" s="212" t="s">
        <v>272</v>
      </c>
      <c r="C34" s="19">
        <f>A2.1.4!D10</f>
        <v>224708</v>
      </c>
      <c r="D34" s="19">
        <f>A2.1.4!G10</f>
        <v>238228</v>
      </c>
      <c r="E34" s="19">
        <f>A2.1.4!J10</f>
        <v>250049</v>
      </c>
      <c r="F34" s="213">
        <f>A2.1.4!M10</f>
        <v>246463</v>
      </c>
      <c r="G34" s="6"/>
    </row>
    <row r="35" spans="2:7" ht="13.35" customHeight="1">
      <c r="B35" s="212" t="s">
        <v>271</v>
      </c>
      <c r="C35" s="19">
        <f>A2.1.4!D11</f>
        <v>106947</v>
      </c>
      <c r="D35" s="19">
        <f>A2.1.4!G11</f>
        <v>112671</v>
      </c>
      <c r="E35" s="19">
        <f>A2.1.4!J11</f>
        <v>118271</v>
      </c>
      <c r="F35" s="213">
        <f>A2.1.4!M11</f>
        <v>119711</v>
      </c>
      <c r="G35" s="6"/>
    </row>
    <row r="36" spans="2:7" ht="13.35" customHeight="1">
      <c r="B36" s="214" t="s">
        <v>9</v>
      </c>
      <c r="C36" s="111">
        <f t="shared" ref="C36" si="0">SUM(C28:C35)</f>
        <v>4123231</v>
      </c>
      <c r="D36" s="111">
        <f>SUM(D28:D35)</f>
        <v>4420407</v>
      </c>
      <c r="E36" s="111">
        <f>SUM(E28:E35)</f>
        <v>4584519</v>
      </c>
      <c r="F36" s="215">
        <f>SUM(F28:F35)</f>
        <v>4522692</v>
      </c>
      <c r="G36" s="6"/>
    </row>
    <row r="37" spans="2:7" ht="13.35" customHeight="1">
      <c r="B37" s="234"/>
      <c r="C37" s="235"/>
      <c r="D37" s="235"/>
      <c r="E37" s="235"/>
      <c r="F37" s="236"/>
    </row>
    <row r="38" spans="2:7" ht="13.35" customHeight="1">
      <c r="B38" s="212" t="s">
        <v>104</v>
      </c>
      <c r="C38" s="162">
        <f>A2.1.4!D14</f>
        <v>4.608521812141983E-3</v>
      </c>
      <c r="D38" s="162">
        <f>A2.1.4!G14</f>
        <v>4.3507306001460948E-3</v>
      </c>
      <c r="E38" s="162">
        <f>A2.1.4!J14</f>
        <v>4.1323855348838123E-3</v>
      </c>
      <c r="F38" s="216">
        <f>A2.1.4!M14</f>
        <v>3.8791056300097374E-3</v>
      </c>
    </row>
    <row r="39" spans="2:7" ht="13.35" customHeight="1">
      <c r="B39" s="212" t="s">
        <v>105</v>
      </c>
      <c r="C39" s="162">
        <f>A2.1.4!D15</f>
        <v>3.378588296411237E-2</v>
      </c>
      <c r="D39" s="162">
        <f>A2.1.4!G15</f>
        <v>3.4216080103031239E-2</v>
      </c>
      <c r="E39" s="162">
        <f>A2.1.4!J15</f>
        <v>3.3305347845651853E-2</v>
      </c>
      <c r="F39" s="216">
        <f>A2.1.4!M15</f>
        <v>3.539750219559501E-2</v>
      </c>
    </row>
    <row r="40" spans="2:7" ht="13.35" customHeight="1">
      <c r="B40" s="212" t="s">
        <v>106</v>
      </c>
      <c r="C40" s="162">
        <f>A2.1.4!D16</f>
        <v>0.22694969066734316</v>
      </c>
      <c r="D40" s="162">
        <f>A2.1.4!G16</f>
        <v>0.23256274818133263</v>
      </c>
      <c r="E40" s="162">
        <f>A2.1.4!J16</f>
        <v>0.23783083896042312</v>
      </c>
      <c r="F40" s="216">
        <f>A2.1.4!M16</f>
        <v>0.24758572991483832</v>
      </c>
    </row>
    <row r="41" spans="2:7" ht="13.35" customHeight="1">
      <c r="B41" s="212" t="s">
        <v>107</v>
      </c>
      <c r="C41" s="162">
        <f>A2.1.4!D17</f>
        <v>0.2866206137856453</v>
      </c>
      <c r="D41" s="162">
        <f>A2.1.4!G17</f>
        <v>0.28345353719691424</v>
      </c>
      <c r="E41" s="162">
        <f>A2.1.4!J17</f>
        <v>0.2793250502397307</v>
      </c>
      <c r="F41" s="216">
        <f>A2.1.4!M17</f>
        <v>0.27538289142837941</v>
      </c>
    </row>
    <row r="42" spans="2:7" ht="13.35" customHeight="1">
      <c r="B42" s="212" t="s">
        <v>108</v>
      </c>
      <c r="C42" s="162">
        <f>A2.1.4!D18</f>
        <v>0.23282857545454039</v>
      </c>
      <c r="D42" s="162">
        <f>A2.1.4!G18</f>
        <v>0.23113573026194195</v>
      </c>
      <c r="E42" s="162">
        <f>A2.1.4!J18</f>
        <v>0.22863336371820031</v>
      </c>
      <c r="F42" s="216">
        <f>A2.1.4!M18</f>
        <v>0.22283321526206074</v>
      </c>
    </row>
    <row r="43" spans="2:7" ht="13.35" customHeight="1">
      <c r="B43" s="212" t="s">
        <v>109</v>
      </c>
      <c r="C43" s="162">
        <f>A2.1.4!D19</f>
        <v>0.1347710084639934</v>
      </c>
      <c r="D43" s="162">
        <f>A2.1.4!G19</f>
        <v>0.13489956920256438</v>
      </c>
      <c r="E43" s="162">
        <f>A2.1.4!J19</f>
        <v>0.136433069641548</v>
      </c>
      <c r="F43" s="216">
        <f>A2.1.4!M19</f>
        <v>0.13395782865603054</v>
      </c>
    </row>
    <row r="44" spans="2:7" ht="13.35" customHeight="1">
      <c r="B44" s="212" t="s">
        <v>272</v>
      </c>
      <c r="C44" s="162">
        <f>A2.1.4!D20</f>
        <v>5.4498038067719225E-2</v>
      </c>
      <c r="D44" s="162">
        <f>A2.1.4!G20</f>
        <v>5.3892775031801371E-2</v>
      </c>
      <c r="E44" s="162">
        <f>A2.1.4!J20</f>
        <v>5.4542035925688168E-2</v>
      </c>
      <c r="F44" s="216">
        <f>A2.1.4!M20</f>
        <v>5.4494756662624828E-2</v>
      </c>
    </row>
    <row r="45" spans="2:7" ht="13.35" customHeight="1">
      <c r="B45" s="217" t="s">
        <v>271</v>
      </c>
      <c r="C45" s="218">
        <f>A2.1.4!D21</f>
        <v>2.5937668784504191E-2</v>
      </c>
      <c r="D45" s="218">
        <f>A2.1.4!G21</f>
        <v>2.5488829422268131E-2</v>
      </c>
      <c r="E45" s="218">
        <f>A2.1.4!J21</f>
        <v>2.5797908133874021E-2</v>
      </c>
      <c r="F45" s="219">
        <f>A2.1.4!M21</f>
        <v>2.6468970250461452E-2</v>
      </c>
    </row>
    <row r="46" spans="2:7" ht="13.35" customHeight="1"/>
  </sheetData>
  <mergeCells count="1">
    <mergeCell ref="A1:G1"/>
  </mergeCells>
  <phoneticPr fontId="7" type="noConversion"/>
  <hyperlinks>
    <hyperlink ref="D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codeName="Sheet20">
    <pageSetUpPr fitToPage="1"/>
  </sheetPr>
  <dimension ref="A1:L64"/>
  <sheetViews>
    <sheetView showGridLines="0" zoomScaleNormal="100" zoomScaleSheetLayoutView="90" workbookViewId="0"/>
  </sheetViews>
  <sheetFormatPr defaultColWidth="9.140625" defaultRowHeight="12.75"/>
  <cols>
    <col min="1" max="1" width="0.85546875" customWidth="1"/>
    <col min="2" max="2" width="3.85546875" style="2" customWidth="1"/>
    <col min="3" max="5" width="12.28515625" style="2" customWidth="1"/>
    <col min="6" max="6" width="12.28515625" style="13" customWidth="1"/>
    <col min="7" max="7" width="12.28515625" style="68" customWidth="1"/>
    <col min="8" max="8" width="12.28515625" style="14" customWidth="1"/>
    <col min="9" max="9" width="6" style="6" customWidth="1"/>
    <col min="10" max="16384" width="9.140625" style="10"/>
  </cols>
  <sheetData>
    <row r="1" spans="1:10" customFormat="1" ht="15" customHeight="1">
      <c r="A1" s="469" t="s">
        <v>473</v>
      </c>
      <c r="B1" s="649"/>
      <c r="C1" s="649"/>
      <c r="D1" s="649"/>
      <c r="E1" s="649"/>
      <c r="F1" s="649"/>
      <c r="G1" s="649"/>
      <c r="H1" s="649"/>
    </row>
    <row r="2" spans="1:10" customFormat="1" ht="13.35" customHeight="1">
      <c r="A2" s="1"/>
      <c r="B2" s="1"/>
      <c r="C2" s="1"/>
      <c r="D2" s="1"/>
      <c r="E2" s="1"/>
      <c r="F2" s="1"/>
      <c r="G2" s="1"/>
      <c r="H2" s="1"/>
    </row>
    <row r="3" spans="1:10" customFormat="1" ht="13.35" customHeight="1">
      <c r="A3" s="1"/>
      <c r="B3" s="1"/>
      <c r="C3" s="1"/>
      <c r="D3" s="1"/>
      <c r="E3" s="1"/>
      <c r="F3" s="1"/>
      <c r="G3" s="1"/>
      <c r="H3" s="1"/>
    </row>
    <row r="4" spans="1:10" customFormat="1" ht="13.35" customHeight="1">
      <c r="A4" s="1"/>
      <c r="B4" s="1"/>
      <c r="C4" s="1"/>
      <c r="D4" s="1"/>
      <c r="E4" s="1"/>
      <c r="F4" s="1"/>
      <c r="G4" s="1"/>
      <c r="H4" s="1"/>
    </row>
    <row r="5" spans="1:10" customFormat="1" ht="13.35" customHeight="1">
      <c r="A5" s="1"/>
      <c r="B5" s="1"/>
      <c r="C5" s="1"/>
      <c r="D5" s="1"/>
      <c r="E5" s="1"/>
      <c r="F5" s="1"/>
      <c r="G5" s="1"/>
      <c r="H5" s="1"/>
      <c r="J5" s="10"/>
    </row>
    <row r="6" spans="1:10" customFormat="1" ht="13.35" customHeight="1">
      <c r="A6" s="1"/>
      <c r="B6" s="1"/>
      <c r="C6" s="1"/>
      <c r="D6" s="1"/>
      <c r="E6" s="1"/>
      <c r="F6" s="1"/>
      <c r="G6" s="1"/>
      <c r="H6" s="1"/>
    </row>
    <row r="7" spans="1:10" customFormat="1" ht="13.35" customHeight="1">
      <c r="A7" s="1"/>
      <c r="B7" s="1"/>
      <c r="C7" s="1"/>
      <c r="D7" s="1"/>
      <c r="E7" s="1"/>
      <c r="F7" s="1"/>
      <c r="G7" s="1"/>
      <c r="H7" s="1"/>
    </row>
    <row r="8" spans="1:10" customFormat="1" ht="13.35" customHeight="1">
      <c r="A8" s="1"/>
      <c r="B8" s="1"/>
      <c r="C8" s="1"/>
      <c r="D8" s="1"/>
      <c r="E8" s="1"/>
      <c r="F8" s="1"/>
      <c r="G8" s="1"/>
      <c r="H8" s="1"/>
    </row>
    <row r="9" spans="1:10" customFormat="1" ht="13.35" customHeight="1">
      <c r="A9" s="1"/>
      <c r="B9" s="1"/>
      <c r="C9" s="1"/>
      <c r="D9" s="1"/>
      <c r="E9" s="1"/>
      <c r="F9" s="1"/>
      <c r="G9" s="1"/>
      <c r="H9" s="1"/>
    </row>
    <row r="10" spans="1:10" s="1" customFormat="1" ht="13.35" customHeight="1"/>
    <row r="11" spans="1:10" s="1" customFormat="1" ht="13.35" customHeight="1"/>
    <row r="12" spans="1:10" s="1" customFormat="1" ht="13.35" customHeight="1"/>
    <row r="13" spans="1:10" s="1" customFormat="1" ht="13.35" customHeight="1"/>
    <row r="14" spans="1:10" s="1" customFormat="1" ht="13.35" customHeight="1"/>
    <row r="15" spans="1:10" customFormat="1" ht="13.35" customHeight="1">
      <c r="A15" s="1"/>
      <c r="B15" s="1"/>
      <c r="C15" s="1"/>
      <c r="D15" s="1"/>
      <c r="E15" s="1"/>
      <c r="F15" s="1"/>
      <c r="G15" s="1"/>
      <c r="H15" s="1"/>
    </row>
    <row r="16" spans="1:10" customFormat="1" ht="13.35" customHeight="1">
      <c r="A16" s="1"/>
      <c r="B16" s="1"/>
      <c r="C16" s="1"/>
      <c r="D16" s="1"/>
      <c r="E16" s="1"/>
      <c r="F16" s="1"/>
      <c r="G16" s="1"/>
      <c r="H16" s="1"/>
    </row>
    <row r="17" spans="1:9" customFormat="1" ht="13.35" customHeight="1">
      <c r="A17" s="1"/>
      <c r="B17" s="1"/>
      <c r="C17" s="1"/>
      <c r="D17" s="1"/>
      <c r="E17" s="1"/>
      <c r="F17" s="1"/>
      <c r="G17" s="1"/>
      <c r="H17" s="1"/>
    </row>
    <row r="18" spans="1:9" customFormat="1" ht="13.35" customHeight="1">
      <c r="A18" s="1"/>
      <c r="B18" s="1"/>
      <c r="C18" s="1"/>
      <c r="D18" s="1"/>
      <c r="E18" s="1"/>
      <c r="F18" s="1"/>
      <c r="G18" s="1"/>
      <c r="H18" s="1"/>
    </row>
    <row r="19" spans="1:9" customFormat="1" ht="13.35" customHeight="1">
      <c r="A19" s="1"/>
      <c r="B19" s="1"/>
      <c r="C19" s="1"/>
      <c r="D19" s="1"/>
      <c r="E19" s="1"/>
      <c r="F19" s="1"/>
      <c r="G19" s="1"/>
      <c r="H19" s="1"/>
    </row>
    <row r="20" spans="1:9" customFormat="1" ht="13.35" customHeight="1">
      <c r="A20" s="1"/>
      <c r="B20" s="1"/>
      <c r="C20" s="1"/>
      <c r="D20" s="1"/>
      <c r="E20" s="1"/>
      <c r="F20" s="1"/>
      <c r="G20" s="1"/>
      <c r="H20" s="1"/>
    </row>
    <row r="21" spans="1:9" customFormat="1" ht="13.35" customHeight="1">
      <c r="A21" s="1"/>
      <c r="B21" s="1"/>
      <c r="C21" s="1"/>
      <c r="D21" s="1"/>
      <c r="E21" s="1"/>
      <c r="F21" s="1"/>
      <c r="G21" s="1"/>
      <c r="H21" s="1"/>
    </row>
    <row r="22" spans="1:9" customFormat="1" ht="13.35" customHeight="1">
      <c r="A22" s="126"/>
      <c r="B22" s="1"/>
      <c r="C22" s="1"/>
      <c r="D22" s="1"/>
      <c r="E22" s="1"/>
      <c r="F22" s="1"/>
      <c r="G22" s="1"/>
      <c r="H22" s="1"/>
    </row>
    <row r="23" spans="1:9" customFormat="1" ht="13.35" customHeight="1">
      <c r="E23" s="560" t="s">
        <v>506</v>
      </c>
      <c r="G23" s="1"/>
    </row>
    <row r="24" spans="1:9" customFormat="1" ht="13.35" customHeight="1">
      <c r="G24" s="1"/>
    </row>
    <row r="25" spans="1:9" customFormat="1" ht="13.35" customHeight="1">
      <c r="G25" s="1"/>
    </row>
    <row r="26" spans="1:9" customFormat="1" ht="13.35" customHeight="1">
      <c r="B26" s="207" t="s">
        <v>325</v>
      </c>
      <c r="C26" s="208"/>
      <c r="D26" s="208"/>
      <c r="E26" s="208"/>
      <c r="F26" s="209"/>
      <c r="G26" s="208"/>
      <c r="H26" s="209"/>
    </row>
    <row r="27" spans="1:9" s="6" customFormat="1" ht="13.35" customHeight="1">
      <c r="A27"/>
      <c r="B27" s="210" t="s">
        <v>183</v>
      </c>
      <c r="C27" s="92"/>
      <c r="D27" s="84" t="str">
        <f>A2.1.6!M37</f>
        <v>2011 [94.1% assessed]</v>
      </c>
      <c r="E27" s="244"/>
      <c r="F27" s="245"/>
      <c r="G27" s="244"/>
      <c r="H27" s="245"/>
    </row>
    <row r="28" spans="1:9" s="6" customFormat="1" ht="13.35" customHeight="1">
      <c r="A28"/>
      <c r="B28" s="701" t="s">
        <v>95</v>
      </c>
      <c r="C28" s="702"/>
      <c r="D28" s="32" t="str">
        <f>A2.1.6!J38</f>
        <v>Females</v>
      </c>
      <c r="E28" s="33" t="str">
        <f>A2.1.6!K38</f>
        <v>Males</v>
      </c>
      <c r="F28" s="86" t="str">
        <f>A2.1.6!L38</f>
        <v>Total</v>
      </c>
      <c r="G28" s="33" t="s">
        <v>326</v>
      </c>
      <c r="H28" s="86" t="s">
        <v>327</v>
      </c>
    </row>
    <row r="29" spans="1:9" s="6" customFormat="1" ht="13.35" customHeight="1">
      <c r="A29"/>
      <c r="B29" s="212" t="s">
        <v>19</v>
      </c>
      <c r="C29" s="16" t="s">
        <v>44</v>
      </c>
      <c r="D29" s="19">
        <f>A2.1.6!M39</f>
        <v>25763</v>
      </c>
      <c r="E29" s="15">
        <f>A2.1.6!N39</f>
        <v>48673</v>
      </c>
      <c r="F29" s="24">
        <f>A2.1.6!O39</f>
        <v>74436</v>
      </c>
      <c r="G29" s="23">
        <f>D29/$F$54</f>
        <v>5.6963861346295526E-3</v>
      </c>
      <c r="H29" s="163">
        <f>-E29/$F$54</f>
        <v>-1.0761953279153212E-2</v>
      </c>
    </row>
    <row r="30" spans="1:9" s="6" customFormat="1" ht="13.35" customHeight="1">
      <c r="A30"/>
      <c r="B30" s="212" t="s">
        <v>20</v>
      </c>
      <c r="C30" s="50" t="s">
        <v>137</v>
      </c>
      <c r="D30" s="19">
        <f>A2.1.6!M40</f>
        <v>60506</v>
      </c>
      <c r="E30" s="15">
        <f>A2.1.6!N40</f>
        <v>73439</v>
      </c>
      <c r="F30" s="24">
        <f>A2.1.6!O40</f>
        <v>133945</v>
      </c>
      <c r="G30" s="23">
        <f t="shared" ref="G30:G54" si="0">D30/$F$54</f>
        <v>1.3378315392690902E-2</v>
      </c>
      <c r="H30" s="163">
        <f t="shared" ref="H30:H54" si="1">-E30/$F$54</f>
        <v>-1.6237895483486385E-2</v>
      </c>
    </row>
    <row r="31" spans="1:9" s="6" customFormat="1" ht="13.35" customHeight="1">
      <c r="A31"/>
      <c r="B31" s="212" t="s">
        <v>21</v>
      </c>
      <c r="C31" s="16" t="s">
        <v>45</v>
      </c>
      <c r="D31" s="19">
        <f>A2.1.6!M41</f>
        <v>79898</v>
      </c>
      <c r="E31" s="15">
        <f>A2.1.6!N41</f>
        <v>82417</v>
      </c>
      <c r="F31" s="24">
        <f>A2.1.6!O41</f>
        <v>162315</v>
      </c>
      <c r="G31" s="23">
        <f t="shared" si="0"/>
        <v>1.766602722449373E-2</v>
      </c>
      <c r="H31" s="163">
        <f t="shared" si="1"/>
        <v>-1.8222996392414075E-2</v>
      </c>
    </row>
    <row r="32" spans="1:9" customFormat="1" ht="13.35" customHeight="1">
      <c r="B32" s="212" t="s">
        <v>22</v>
      </c>
      <c r="C32" s="16" t="s">
        <v>46</v>
      </c>
      <c r="D32" s="19">
        <f>A2.1.6!M42</f>
        <v>41282</v>
      </c>
      <c r="E32" s="15">
        <f>A2.1.6!N42</f>
        <v>46551</v>
      </c>
      <c r="F32" s="24">
        <f>A2.1.6!O42</f>
        <v>87833</v>
      </c>
      <c r="G32" s="23">
        <f t="shared" si="0"/>
        <v>9.1277495792328987E-3</v>
      </c>
      <c r="H32" s="163">
        <f t="shared" si="1"/>
        <v>-1.0292763690297725E-2</v>
      </c>
      <c r="I32" s="6"/>
    </row>
    <row r="33" spans="2:9" customFormat="1" ht="13.35" customHeight="1">
      <c r="B33" s="212" t="s">
        <v>23</v>
      </c>
      <c r="C33" s="16" t="s">
        <v>47</v>
      </c>
      <c r="D33" s="19">
        <f>A2.1.6!M43</f>
        <v>44729</v>
      </c>
      <c r="E33" s="15">
        <f>A2.1.6!N43</f>
        <v>53069</v>
      </c>
      <c r="F33" s="24">
        <f>A2.1.6!O43</f>
        <v>97798</v>
      </c>
      <c r="G33" s="23">
        <f t="shared" si="0"/>
        <v>9.8899062770580002E-3</v>
      </c>
      <c r="H33" s="163">
        <f t="shared" si="1"/>
        <v>-1.1733940759176172E-2</v>
      </c>
      <c r="I33" s="6"/>
    </row>
    <row r="34" spans="2:9" customFormat="1" ht="13.35" customHeight="1">
      <c r="B34" s="212" t="s">
        <v>24</v>
      </c>
      <c r="C34" s="16" t="s">
        <v>48</v>
      </c>
      <c r="D34" s="19">
        <f>A2.1.6!M44</f>
        <v>50779</v>
      </c>
      <c r="E34" s="15">
        <f>A2.1.6!N44</f>
        <v>60980</v>
      </c>
      <c r="F34" s="24">
        <f>A2.1.6!O44</f>
        <v>111759</v>
      </c>
      <c r="G34" s="23">
        <f t="shared" si="0"/>
        <v>1.1227605151975859E-2</v>
      </c>
      <c r="H34" s="163">
        <f t="shared" si="1"/>
        <v>-1.3483120230163806E-2</v>
      </c>
      <c r="I34" s="6"/>
    </row>
    <row r="35" spans="2:9" customFormat="1" ht="13.35" customHeight="1">
      <c r="B35" s="212" t="s">
        <v>25</v>
      </c>
      <c r="C35" s="16" t="s">
        <v>49</v>
      </c>
      <c r="D35" s="19">
        <f>A2.1.6!M45</f>
        <v>75427</v>
      </c>
      <c r="E35" s="15">
        <f>A2.1.6!N45</f>
        <v>88425</v>
      </c>
      <c r="F35" s="24">
        <f>A2.1.6!O45</f>
        <v>163852</v>
      </c>
      <c r="G35" s="23">
        <f t="shared" si="0"/>
        <v>1.667745670056683E-2</v>
      </c>
      <c r="H35" s="163">
        <f t="shared" si="1"/>
        <v>-1.9551408762745727E-2</v>
      </c>
      <c r="I35" s="6"/>
    </row>
    <row r="36" spans="2:9" customFormat="1" ht="13.35" customHeight="1">
      <c r="B36" s="212" t="s">
        <v>26</v>
      </c>
      <c r="C36" s="16" t="s">
        <v>50</v>
      </c>
      <c r="D36" s="19">
        <f>A2.1.6!M46</f>
        <v>83667</v>
      </c>
      <c r="E36" s="15">
        <f>A2.1.6!N46</f>
        <v>93113</v>
      </c>
      <c r="F36" s="24">
        <f>A2.1.6!O46</f>
        <v>176780</v>
      </c>
      <c r="G36" s="23">
        <f t="shared" si="0"/>
        <v>1.8499380457479748E-2</v>
      </c>
      <c r="H36" s="163">
        <f t="shared" si="1"/>
        <v>-2.0587959560368029E-2</v>
      </c>
      <c r="I36" s="6"/>
    </row>
    <row r="37" spans="2:9" customFormat="1" ht="13.35" customHeight="1">
      <c r="B37" s="212" t="s">
        <v>27</v>
      </c>
      <c r="C37" s="16" t="s">
        <v>51</v>
      </c>
      <c r="D37" s="19">
        <f>A2.1.6!M47</f>
        <v>103753</v>
      </c>
      <c r="E37" s="15">
        <f>A2.1.6!N47</f>
        <v>105691</v>
      </c>
      <c r="F37" s="24">
        <f>A2.1.6!O47</f>
        <v>209444</v>
      </c>
      <c r="G37" s="23">
        <f t="shared" si="0"/>
        <v>2.294054072220704E-2</v>
      </c>
      <c r="H37" s="163">
        <f t="shared" si="1"/>
        <v>-2.3369046576684861E-2</v>
      </c>
      <c r="I37" s="6"/>
    </row>
    <row r="38" spans="2:9" customFormat="1" ht="13.35" customHeight="1">
      <c r="B38" s="49" t="s">
        <v>28</v>
      </c>
      <c r="C38" s="27" t="s">
        <v>52</v>
      </c>
      <c r="D38" s="19">
        <f>A2.1.6!M48</f>
        <v>93694</v>
      </c>
      <c r="E38" s="15">
        <f>A2.1.6!N48</f>
        <v>97467</v>
      </c>
      <c r="F38" s="24">
        <f>A2.1.6!O48</f>
        <v>191161</v>
      </c>
      <c r="G38" s="23">
        <f t="shared" si="0"/>
        <v>2.0716422873810553E-2</v>
      </c>
      <c r="H38" s="163">
        <f t="shared" si="1"/>
        <v>-2.1550660535804782E-2</v>
      </c>
      <c r="I38" s="6"/>
    </row>
    <row r="39" spans="2:9" customFormat="1" ht="13.35" customHeight="1">
      <c r="B39" s="49" t="s">
        <v>29</v>
      </c>
      <c r="C39" s="27" t="s">
        <v>53</v>
      </c>
      <c r="D39" s="19">
        <f>A2.1.6!M49</f>
        <v>83257</v>
      </c>
      <c r="E39" s="15">
        <f>A2.1.6!N49</f>
        <v>88453</v>
      </c>
      <c r="F39" s="24">
        <f>A2.1.6!O49</f>
        <v>171710</v>
      </c>
      <c r="G39" s="23">
        <f t="shared" si="0"/>
        <v>1.8408726484138209E-2</v>
      </c>
      <c r="H39" s="163">
        <f t="shared" si="1"/>
        <v>-1.9557599765803197E-2</v>
      </c>
      <c r="I39" s="6"/>
    </row>
    <row r="40" spans="2:9" customFormat="1" ht="13.35" customHeight="1">
      <c r="B40" s="49" t="s">
        <v>30</v>
      </c>
      <c r="C40" s="27" t="s">
        <v>54</v>
      </c>
      <c r="D40" s="19">
        <f>A2.1.6!M50</f>
        <v>85190</v>
      </c>
      <c r="E40" s="15">
        <f>A2.1.6!N50</f>
        <v>84461</v>
      </c>
      <c r="F40" s="24">
        <f>A2.1.6!O50</f>
        <v>169651</v>
      </c>
      <c r="G40" s="23">
        <f t="shared" si="0"/>
        <v>1.8836126802355767E-2</v>
      </c>
      <c r="H40" s="163">
        <f t="shared" si="1"/>
        <v>-1.8674939615609464E-2</v>
      </c>
      <c r="I40" s="6"/>
    </row>
    <row r="41" spans="2:9" customFormat="1" ht="13.35" customHeight="1">
      <c r="B41" s="49" t="s">
        <v>31</v>
      </c>
      <c r="C41" s="27" t="s">
        <v>55</v>
      </c>
      <c r="D41" s="19">
        <f>A2.1.6!M51</f>
        <v>83234</v>
      </c>
      <c r="E41" s="15">
        <f>A2.1.6!N51</f>
        <v>85198</v>
      </c>
      <c r="F41" s="24">
        <f>A2.1.6!O51</f>
        <v>168432</v>
      </c>
      <c r="G41" s="23">
        <f t="shared" si="0"/>
        <v>1.8403641017340999E-2</v>
      </c>
      <c r="H41" s="163">
        <f t="shared" si="1"/>
        <v>-1.8837895660372184E-2</v>
      </c>
      <c r="I41" s="6"/>
    </row>
    <row r="42" spans="2:9" customFormat="1" ht="13.35" customHeight="1">
      <c r="B42" s="49" t="s">
        <v>32</v>
      </c>
      <c r="C42" s="27" t="s">
        <v>56</v>
      </c>
      <c r="D42" s="19">
        <f>A2.1.6!M52</f>
        <v>83285</v>
      </c>
      <c r="E42" s="15">
        <f>A2.1.6!N52</f>
        <v>89049</v>
      </c>
      <c r="F42" s="24">
        <f>A2.1.6!O52</f>
        <v>172334</v>
      </c>
      <c r="G42" s="23">
        <f t="shared" si="0"/>
        <v>1.8414917487195679E-2</v>
      </c>
      <c r="H42" s="163">
        <f t="shared" si="1"/>
        <v>-1.9689379688026511E-2</v>
      </c>
      <c r="I42" s="6"/>
    </row>
    <row r="43" spans="2:9" customFormat="1" ht="13.35" customHeight="1">
      <c r="B43" s="49" t="s">
        <v>33</v>
      </c>
      <c r="C43" s="27" t="s">
        <v>57</v>
      </c>
      <c r="D43" s="19">
        <f>A2.1.6!M53</f>
        <v>76569</v>
      </c>
      <c r="E43" s="15">
        <f>A2.1.6!N53</f>
        <v>82555</v>
      </c>
      <c r="F43" s="24">
        <f>A2.1.6!O53</f>
        <v>159124</v>
      </c>
      <c r="G43" s="23">
        <f t="shared" si="0"/>
        <v>1.692996118241083E-2</v>
      </c>
      <c r="H43" s="163">
        <f t="shared" si="1"/>
        <v>-1.8253509193197327E-2</v>
      </c>
      <c r="I43" s="6"/>
    </row>
    <row r="44" spans="2:9" customFormat="1" ht="13.35" customHeight="1">
      <c r="B44" s="49" t="s">
        <v>34</v>
      </c>
      <c r="C44" s="27" t="s">
        <v>58</v>
      </c>
      <c r="D44" s="19">
        <f>A2.1.6!M54</f>
        <v>74230</v>
      </c>
      <c r="E44" s="15">
        <f>A2.1.6!N54</f>
        <v>76977</v>
      </c>
      <c r="F44" s="24">
        <f>A2.1.6!O54</f>
        <v>151207</v>
      </c>
      <c r="G44" s="23">
        <f t="shared" si="0"/>
        <v>1.641279131985994E-2</v>
      </c>
      <c r="H44" s="163">
        <f t="shared" si="1"/>
        <v>-1.7020172941248267E-2</v>
      </c>
      <c r="I44" s="6"/>
    </row>
    <row r="45" spans="2:9" customFormat="1" ht="13.35" customHeight="1">
      <c r="B45" s="49" t="s">
        <v>35</v>
      </c>
      <c r="C45" s="87" t="s">
        <v>59</v>
      </c>
      <c r="D45" s="19">
        <f>A2.1.6!M55</f>
        <v>348876</v>
      </c>
      <c r="E45" s="15">
        <f>A2.1.6!N55</f>
        <v>348056</v>
      </c>
      <c r="F45" s="24">
        <f>A2.1.6!O55</f>
        <v>696932</v>
      </c>
      <c r="G45" s="23">
        <f t="shared" si="0"/>
        <v>7.7139013667081466E-2</v>
      </c>
      <c r="H45" s="163">
        <f t="shared" si="1"/>
        <v>-7.6957705720398381E-2</v>
      </c>
      <c r="I45" s="6"/>
    </row>
    <row r="46" spans="2:9" customFormat="1" ht="13.35" customHeight="1">
      <c r="B46" s="49" t="s">
        <v>36</v>
      </c>
      <c r="C46" s="27" t="s">
        <v>60</v>
      </c>
      <c r="D46" s="19">
        <f>A2.1.6!M56</f>
        <v>300271</v>
      </c>
      <c r="E46" s="15">
        <f>A2.1.6!N56</f>
        <v>384426</v>
      </c>
      <c r="F46" s="24">
        <f>A2.1.6!O56</f>
        <v>684697</v>
      </c>
      <c r="G46" s="23">
        <f t="shared" si="0"/>
        <v>6.6392095681067825E-2</v>
      </c>
      <c r="H46" s="163">
        <f t="shared" si="1"/>
        <v>-8.499937647754921E-2</v>
      </c>
      <c r="I46" s="6"/>
    </row>
    <row r="47" spans="2:9" customFormat="1" ht="13.35" customHeight="1">
      <c r="B47" s="49" t="s">
        <v>37</v>
      </c>
      <c r="C47" s="27" t="s">
        <v>61</v>
      </c>
      <c r="D47" s="19">
        <f>A2.1.6!M57</f>
        <v>101721</v>
      </c>
      <c r="E47" s="15">
        <f>A2.1.6!N57</f>
        <v>197355</v>
      </c>
      <c r="F47" s="24">
        <f>A2.1.6!O57</f>
        <v>299076</v>
      </c>
      <c r="G47" s="23">
        <f t="shared" si="0"/>
        <v>2.2491250786036282E-2</v>
      </c>
      <c r="H47" s="163">
        <f t="shared" si="1"/>
        <v>-4.3636621728828762E-2</v>
      </c>
      <c r="I47" s="6"/>
    </row>
    <row r="48" spans="2:9" customFormat="1" ht="13.35" customHeight="1">
      <c r="B48" s="49" t="s">
        <v>38</v>
      </c>
      <c r="C48" s="27" t="s">
        <v>62</v>
      </c>
      <c r="D48" s="19">
        <f>A2.1.6!M58</f>
        <v>43302</v>
      </c>
      <c r="E48" s="15">
        <f>A2.1.6!N58</f>
        <v>111078</v>
      </c>
      <c r="F48" s="24">
        <f>A2.1.6!O58</f>
        <v>154380</v>
      </c>
      <c r="G48" s="23">
        <f t="shared" si="0"/>
        <v>9.5743862283790282E-3</v>
      </c>
      <c r="H48" s="163">
        <f t="shared" si="1"/>
        <v>-2.4560151343491887E-2</v>
      </c>
      <c r="I48" s="6"/>
    </row>
    <row r="49" spans="2:12" customFormat="1" ht="13.35" customHeight="1">
      <c r="B49" s="49" t="s">
        <v>39</v>
      </c>
      <c r="C49" s="27" t="s">
        <v>63</v>
      </c>
      <c r="D49" s="19">
        <f>A2.1.6!M59</f>
        <v>42396</v>
      </c>
      <c r="E49" s="15">
        <f>A2.1.6!N59</f>
        <v>124670</v>
      </c>
      <c r="F49" s="24">
        <f>A2.1.6!O59</f>
        <v>167066</v>
      </c>
      <c r="G49" s="23">
        <f t="shared" si="0"/>
        <v>9.374063058019428E-3</v>
      </c>
      <c r="H49" s="163">
        <f t="shared" si="1"/>
        <v>-2.7565441113389991E-2</v>
      </c>
      <c r="I49" s="6"/>
    </row>
    <row r="50" spans="2:12" customFormat="1" ht="13.35" customHeight="1">
      <c r="B50" s="49" t="s">
        <v>40</v>
      </c>
      <c r="C50" s="27" t="s">
        <v>64</v>
      </c>
      <c r="D50" s="19">
        <f>A2.1.6!M60</f>
        <v>11040</v>
      </c>
      <c r="E50" s="15">
        <f>A2.1.6!N60</f>
        <v>44312</v>
      </c>
      <c r="F50" s="24">
        <f>A2.1.6!O60</f>
        <v>55352</v>
      </c>
      <c r="G50" s="23">
        <f t="shared" si="0"/>
        <v>2.4410240626600264E-3</v>
      </c>
      <c r="H50" s="163">
        <f t="shared" si="1"/>
        <v>-9.7977045529520912E-3</v>
      </c>
      <c r="I50" s="6"/>
    </row>
    <row r="51" spans="2:12" customFormat="1" ht="13.35" customHeight="1">
      <c r="B51" s="49" t="s">
        <v>41</v>
      </c>
      <c r="C51" s="27" t="s">
        <v>65</v>
      </c>
      <c r="D51" s="19">
        <f>A2.1.6!M61</f>
        <v>7383</v>
      </c>
      <c r="E51" s="15">
        <f>A2.1.6!N61</f>
        <v>41065</v>
      </c>
      <c r="F51" s="24">
        <f>A2.1.6!O61</f>
        <v>48448</v>
      </c>
      <c r="G51" s="23">
        <f t="shared" si="0"/>
        <v>1.6324348419038926E-3</v>
      </c>
      <c r="H51" s="163">
        <f t="shared" si="1"/>
        <v>-9.0797693055374978E-3</v>
      </c>
      <c r="I51" s="6"/>
    </row>
    <row r="52" spans="2:12" customFormat="1" ht="13.35" customHeight="1">
      <c r="B52" s="49" t="s">
        <v>42</v>
      </c>
      <c r="C52" s="27" t="s">
        <v>66</v>
      </c>
      <c r="D52" s="19">
        <f>A2.1.6!M62</f>
        <v>1355</v>
      </c>
      <c r="E52" s="15">
        <f>A2.1.6!N62</f>
        <v>11498</v>
      </c>
      <c r="F52" s="24">
        <f>A2.1.6!O62</f>
        <v>12853</v>
      </c>
      <c r="G52" s="23">
        <f t="shared" si="0"/>
        <v>2.9960032653118985E-4</v>
      </c>
      <c r="H52" s="163">
        <f t="shared" si="1"/>
        <v>-2.5422911841000892E-3</v>
      </c>
      <c r="I52" s="6"/>
    </row>
    <row r="53" spans="2:12" customFormat="1" ht="13.35" customHeight="1">
      <c r="B53" s="49" t="s">
        <v>43</v>
      </c>
      <c r="C53" s="27" t="s">
        <v>67</v>
      </c>
      <c r="D53" s="19">
        <f>A2.1.6!M63</f>
        <v>149</v>
      </c>
      <c r="E53" s="15">
        <f>A2.1.6!N63</f>
        <v>1958</v>
      </c>
      <c r="F53" s="24">
        <f>A2.1.6!O63</f>
        <v>2107</v>
      </c>
      <c r="G53" s="23">
        <f t="shared" si="0"/>
        <v>3.2944980555828254E-5</v>
      </c>
      <c r="H53" s="163">
        <f t="shared" si="1"/>
        <v>-4.3292799951887061E-4</v>
      </c>
      <c r="I53" s="6"/>
    </row>
    <row r="54" spans="2:12" customFormat="1" ht="13.35" customHeight="1">
      <c r="B54" s="74" t="s">
        <v>9</v>
      </c>
      <c r="C54" s="89"/>
      <c r="D54" s="20">
        <f t="shared" ref="D54:F54" si="2">SUM(D29:D53)</f>
        <v>2001756</v>
      </c>
      <c r="E54" s="18">
        <f t="shared" si="2"/>
        <v>2520936</v>
      </c>
      <c r="F54" s="25">
        <f t="shared" si="2"/>
        <v>4522692</v>
      </c>
      <c r="G54" s="165">
        <f t="shared" si="0"/>
        <v>0.44260276843968149</v>
      </c>
      <c r="H54" s="166">
        <f t="shared" si="1"/>
        <v>-0.55739723156031851</v>
      </c>
      <c r="I54" s="6"/>
    </row>
    <row r="55" spans="2:12" customFormat="1" ht="13.35" customHeight="1">
      <c r="B55" s="2"/>
      <c r="C55" s="2"/>
      <c r="D55" s="2"/>
      <c r="E55" s="2"/>
      <c r="F55" s="13"/>
      <c r="G55" s="68"/>
      <c r="H55" s="14"/>
      <c r="I55" s="6"/>
    </row>
    <row r="56" spans="2:12">
      <c r="B56" s="2" t="s">
        <v>483</v>
      </c>
      <c r="D56" s="65" t="str">
        <f>A2.1.5!M2</f>
        <v>2011 [94.1% assessed]</v>
      </c>
      <c r="E56" s="67"/>
      <c r="F56" s="85"/>
    </row>
    <row r="57" spans="2:12" ht="33.75">
      <c r="D57" s="32" t="str">
        <f>A2.1.5!M3</f>
        <v>Number of taxpayers</v>
      </c>
      <c r="E57" s="33" t="str">
        <f>A2.1.5!N3</f>
        <v>Taxable income 
(R million)</v>
      </c>
      <c r="F57" s="86" t="str">
        <f>A2.1.5!O3</f>
        <v>Tax 
assessed
(R million)</v>
      </c>
    </row>
    <row r="58" spans="2:12">
      <c r="D58" s="19">
        <f>A2.1.5!M4</f>
        <v>2001756</v>
      </c>
      <c r="E58" s="15">
        <f>A2.1.5!N4</f>
        <v>321686.324937</v>
      </c>
      <c r="F58" s="24">
        <f>A2.1.5!O4</f>
        <v>53885.037515999997</v>
      </c>
      <c r="G58" s="68">
        <f>E58/D58*1000000</f>
        <v>160702.06605450416</v>
      </c>
      <c r="H58" s="14">
        <f>F58/D58*1000000</f>
        <v>26918.88397786743</v>
      </c>
      <c r="I58" s="439">
        <f>H58/G58</f>
        <v>0.16750801429483517</v>
      </c>
      <c r="K58" s="440">
        <f>G59-G58</f>
        <v>62847.72607786255</v>
      </c>
      <c r="L58" s="441">
        <f>K58/G59</f>
        <v>0.28113524722335509</v>
      </c>
    </row>
    <row r="59" spans="2:12">
      <c r="D59" s="19">
        <f>A2.1.5!M5</f>
        <v>2520936</v>
      </c>
      <c r="E59" s="15">
        <f>A2.1.5!N5</f>
        <v>563554.71877899999</v>
      </c>
      <c r="F59" s="24">
        <f>A2.1.5!O5</f>
        <v>128277.92293</v>
      </c>
      <c r="G59" s="68">
        <f>E59/D59*1000000</f>
        <v>223549.79213236671</v>
      </c>
      <c r="H59" s="14">
        <f>F59/D59*1000000</f>
        <v>50885.037513844065</v>
      </c>
      <c r="I59" s="439">
        <f>H59/G59</f>
        <v>0.22762283529082586</v>
      </c>
      <c r="K59" s="440">
        <f>H59-H58</f>
        <v>23966.153535976635</v>
      </c>
      <c r="L59" s="441">
        <f>K59/H59</f>
        <v>0.47098626053790904</v>
      </c>
    </row>
    <row r="60" spans="2:12">
      <c r="D60" s="111">
        <f>A2.1.5!M6</f>
        <v>4522692</v>
      </c>
      <c r="E60" s="112">
        <f>A2.1.5!N6</f>
        <v>885241.04371599993</v>
      </c>
      <c r="F60" s="113">
        <f>A2.1.5!O6</f>
        <v>182162.96044599998</v>
      </c>
    </row>
    <row r="61" spans="2:12">
      <c r="D61" s="108">
        <f>A2.1.5!M7</f>
        <v>0</v>
      </c>
      <c r="E61" s="109">
        <f>A2.1.5!N7</f>
        <v>0</v>
      </c>
      <c r="F61" s="110">
        <f>A2.1.5!O7</f>
        <v>0</v>
      </c>
    </row>
    <row r="62" spans="2:12">
      <c r="D62" s="62">
        <f>A2.1.5!M8</f>
        <v>0.44260276843968149</v>
      </c>
      <c r="E62" s="58">
        <f>A2.1.5!N8</f>
        <v>0.36338839824535107</v>
      </c>
      <c r="F62" s="59">
        <f>A2.1.5!O8</f>
        <v>0.29580677314460735</v>
      </c>
    </row>
    <row r="63" spans="2:12">
      <c r="D63" s="62">
        <f>A2.1.5!M9</f>
        <v>0.55739723156031851</v>
      </c>
      <c r="E63" s="58">
        <f>A2.1.5!N9</f>
        <v>0.63661160175464904</v>
      </c>
      <c r="F63" s="59">
        <f>A2.1.5!O9</f>
        <v>0.70419322685539276</v>
      </c>
    </row>
    <row r="64" spans="2:12">
      <c r="D64" s="63">
        <f>A2.1.5!M10</f>
        <v>1</v>
      </c>
      <c r="E64" s="60">
        <f>A2.1.5!N10</f>
        <v>1</v>
      </c>
      <c r="F64" s="61">
        <f>A2.1.5!O10</f>
        <v>1</v>
      </c>
    </row>
  </sheetData>
  <mergeCells count="1">
    <mergeCell ref="B28:C28"/>
  </mergeCells>
  <hyperlinks>
    <hyperlink ref="E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sheetPr codeName="Sheet24">
    <pageSetUpPr fitToPage="1"/>
  </sheetPr>
  <dimension ref="A1:G36"/>
  <sheetViews>
    <sheetView showGridLines="0" zoomScaleNormal="100" zoomScaleSheetLayoutView="90" workbookViewId="0"/>
  </sheetViews>
  <sheetFormatPr defaultRowHeight="12.75"/>
  <cols>
    <col min="1" max="1" width="9.140625" style="42"/>
    <col min="3" max="3" width="18" customWidth="1"/>
    <col min="5" max="5" width="9.5703125" bestFit="1" customWidth="1"/>
  </cols>
  <sheetData>
    <row r="1" spans="1:7" ht="15" customHeight="1">
      <c r="A1" s="469" t="s">
        <v>474</v>
      </c>
      <c r="B1" s="649"/>
      <c r="C1" s="649"/>
      <c r="D1" s="649"/>
      <c r="E1" s="649"/>
      <c r="F1" s="649"/>
      <c r="G1" s="649"/>
    </row>
    <row r="23" spans="1:5">
      <c r="C23" s="560" t="s">
        <v>506</v>
      </c>
    </row>
    <row r="25" spans="1:5">
      <c r="B25" s="330" t="s">
        <v>433</v>
      </c>
      <c r="C25" s="331"/>
      <c r="D25" s="342">
        <v>2011</v>
      </c>
      <c r="E25" s="313"/>
    </row>
    <row r="26" spans="1:5">
      <c r="B26" s="238" t="s">
        <v>92</v>
      </c>
      <c r="C26" s="225"/>
      <c r="D26" s="340"/>
      <c r="E26" s="312"/>
    </row>
    <row r="27" spans="1:5">
      <c r="A27" s="27"/>
      <c r="B27" s="238" t="s">
        <v>222</v>
      </c>
      <c r="C27" s="225"/>
      <c r="D27" s="340"/>
      <c r="E27" s="312"/>
    </row>
    <row r="28" spans="1:5">
      <c r="A28" s="27"/>
      <c r="B28" s="239">
        <v>3601</v>
      </c>
      <c r="C28" s="16" t="s">
        <v>234</v>
      </c>
      <c r="D28" s="341">
        <f t="shared" ref="D28:D34" si="0">E28/$E$36</f>
        <v>0.80003184608628519</v>
      </c>
      <c r="E28" s="329">
        <f>A2.2.1!K5</f>
        <v>691926.63659100002</v>
      </c>
    </row>
    <row r="29" spans="1:5">
      <c r="A29" s="27"/>
      <c r="B29" s="239">
        <v>3605</v>
      </c>
      <c r="C29" s="16" t="s">
        <v>227</v>
      </c>
      <c r="D29" s="341">
        <f t="shared" si="0"/>
        <v>9.6401529891229937E-2</v>
      </c>
      <c r="E29" s="329">
        <f>A2.2.1!K7</f>
        <v>83375.163958999998</v>
      </c>
    </row>
    <row r="30" spans="1:5">
      <c r="A30" s="27"/>
      <c r="B30" s="239">
        <v>4201</v>
      </c>
      <c r="C30" s="16" t="s">
        <v>224</v>
      </c>
      <c r="D30" s="341">
        <f t="shared" si="0"/>
        <v>1.2181450352250635E-2</v>
      </c>
      <c r="E30" s="329">
        <f>A2.2.1!K15</f>
        <v>10535.418073999999</v>
      </c>
    </row>
    <row r="31" spans="1:5">
      <c r="A31" s="27"/>
      <c r="B31" s="239">
        <v>3607</v>
      </c>
      <c r="C31" s="16" t="s">
        <v>202</v>
      </c>
      <c r="D31" s="341">
        <f t="shared" si="0"/>
        <v>0</v>
      </c>
      <c r="E31" s="329">
        <f>A2.2.1!K9</f>
        <v>0</v>
      </c>
    </row>
    <row r="32" spans="1:5">
      <c r="A32" s="27"/>
      <c r="B32" s="239">
        <v>3615</v>
      </c>
      <c r="C32" s="16" t="s">
        <v>207</v>
      </c>
      <c r="D32" s="341">
        <f t="shared" si="0"/>
        <v>4.4085797156024654E-2</v>
      </c>
      <c r="E32" s="329">
        <f>A2.2.1!K11</f>
        <v>38128.653874000003</v>
      </c>
    </row>
    <row r="33" spans="1:5">
      <c r="A33" s="27"/>
      <c r="B33" s="239">
        <v>3606</v>
      </c>
      <c r="C33" s="16" t="s">
        <v>201</v>
      </c>
      <c r="D33" s="341">
        <f t="shared" si="0"/>
        <v>3.091946952128849E-2</v>
      </c>
      <c r="E33" s="329">
        <f>A2.2.1!K8</f>
        <v>26741.441176</v>
      </c>
    </row>
    <row r="34" spans="1:5">
      <c r="A34" s="225"/>
      <c r="B34" s="239">
        <v>3603</v>
      </c>
      <c r="C34" s="16" t="s">
        <v>226</v>
      </c>
      <c r="D34" s="341">
        <f t="shared" si="0"/>
        <v>0</v>
      </c>
      <c r="E34" s="329">
        <f>A2.2.1!K6</f>
        <v>0</v>
      </c>
    </row>
    <row r="35" spans="1:5">
      <c r="A35" s="27"/>
      <c r="B35" s="402"/>
      <c r="C35" s="403" t="s">
        <v>378</v>
      </c>
      <c r="D35" s="404">
        <f t="shared" ref="D35:D36" si="1">E35/$E$36</f>
        <v>1.6379906992921033E-2</v>
      </c>
      <c r="E35" s="405">
        <f>E36-SUM(E28:E34)</f>
        <v>14166.55350499996</v>
      </c>
    </row>
    <row r="36" spans="1:5">
      <c r="A36" s="27"/>
      <c r="B36" s="398" t="s">
        <v>9</v>
      </c>
      <c r="C36" s="399"/>
      <c r="D36" s="400">
        <f t="shared" si="1"/>
        <v>1</v>
      </c>
      <c r="E36" s="401">
        <f>A2.2.1!K21</f>
        <v>864873.86717900005</v>
      </c>
    </row>
  </sheetData>
  <sortState ref="B28:E34">
    <sortCondition descending="1" ref="D28:D34"/>
  </sortState>
  <hyperlinks>
    <hyperlink ref="C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sheetPr codeName="Sheet25">
    <pageSetUpPr fitToPage="1"/>
  </sheetPr>
  <dimension ref="A1:D37"/>
  <sheetViews>
    <sheetView showGridLines="0" zoomScaleNormal="100" zoomScaleSheetLayoutView="90" workbookViewId="0"/>
  </sheetViews>
  <sheetFormatPr defaultRowHeight="12.75"/>
  <cols>
    <col min="1" max="1" width="9.140625" style="42"/>
    <col min="4" max="4" width="10" bestFit="1" customWidth="1"/>
  </cols>
  <sheetData>
    <row r="1" spans="1:1" ht="15" customHeight="1">
      <c r="A1" s="458" t="s">
        <v>475</v>
      </c>
    </row>
    <row r="23" spans="1:4">
      <c r="D23" s="560" t="s">
        <v>506</v>
      </c>
    </row>
    <row r="26" spans="1:4">
      <c r="B26" s="330" t="s">
        <v>382</v>
      </c>
      <c r="C26" s="331"/>
      <c r="D26" s="332"/>
    </row>
    <row r="27" spans="1:4">
      <c r="B27" s="228"/>
      <c r="C27" s="208"/>
      <c r="D27" s="229">
        <v>2011</v>
      </c>
    </row>
    <row r="28" spans="1:4" ht="33.75">
      <c r="A28" s="27"/>
      <c r="B28" s="701" t="s">
        <v>152</v>
      </c>
      <c r="C28" s="703"/>
      <c r="D28" s="230" t="s">
        <v>69</v>
      </c>
    </row>
    <row r="29" spans="1:4">
      <c r="A29" s="27"/>
      <c r="B29" s="212" t="s">
        <v>401</v>
      </c>
      <c r="C29" s="16"/>
      <c r="D29" s="306">
        <f>A2.3.1!O14</f>
        <v>59148.118496000003</v>
      </c>
    </row>
    <row r="30" spans="1:4">
      <c r="A30" s="27"/>
      <c r="B30" s="212" t="s">
        <v>117</v>
      </c>
      <c r="C30" s="16"/>
      <c r="D30" s="306">
        <f>A2.3.1!O4</f>
        <v>36754.743756999997</v>
      </c>
    </row>
    <row r="31" spans="1:4">
      <c r="A31" s="27"/>
      <c r="B31" s="212" t="s">
        <v>123</v>
      </c>
      <c r="C31" s="16"/>
      <c r="D31" s="306">
        <f>A2.3.1!O17</f>
        <v>17304.822326000001</v>
      </c>
    </row>
    <row r="32" spans="1:4">
      <c r="A32" s="27"/>
      <c r="B32" s="212" t="s">
        <v>125</v>
      </c>
      <c r="C32" s="16"/>
      <c r="D32" s="306">
        <f>A2.3.1!O21</f>
        <v>8608.5629090000002</v>
      </c>
    </row>
    <row r="33" spans="1:4">
      <c r="A33" s="27"/>
      <c r="B33" s="212" t="s">
        <v>121</v>
      </c>
      <c r="C33" s="16"/>
      <c r="D33" s="306">
        <f>A2.3.1!O12</f>
        <v>4672.2903040000001</v>
      </c>
    </row>
    <row r="34" spans="1:4">
      <c r="A34" s="27"/>
      <c r="B34" s="212" t="s">
        <v>235</v>
      </c>
      <c r="C34" s="16"/>
      <c r="D34" s="306">
        <f>A2.3.1!O19</f>
        <v>2954.2779679999999</v>
      </c>
    </row>
    <row r="35" spans="1:4">
      <c r="A35" s="225"/>
      <c r="B35" s="212" t="s">
        <v>228</v>
      </c>
      <c r="C35" s="16"/>
      <c r="D35" s="306">
        <f>A2.3.1!O33</f>
        <v>6116.4253349999999</v>
      </c>
    </row>
    <row r="36" spans="1:4">
      <c r="A36" s="225"/>
      <c r="B36" s="212" t="s">
        <v>377</v>
      </c>
      <c r="C36" s="16"/>
      <c r="D36" s="306">
        <f>D37-SUM(D29:D35)</f>
        <v>46603.719368999999</v>
      </c>
    </row>
    <row r="37" spans="1:4">
      <c r="A37" s="225"/>
      <c r="B37" s="74" t="s">
        <v>9</v>
      </c>
      <c r="C37" s="89"/>
      <c r="D37" s="307">
        <f>A2.3.1!O38</f>
        <v>182162.96046399997</v>
      </c>
    </row>
  </sheetData>
  <sortState ref="B59:C91">
    <sortCondition descending="1" ref="C59:C91"/>
  </sortState>
  <mergeCells count="1">
    <mergeCell ref="B28:C28"/>
  </mergeCells>
  <hyperlinks>
    <hyperlink ref="D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sheetPr codeName="Sheet29">
    <pageSetUpPr fitToPage="1"/>
  </sheetPr>
  <dimension ref="A1:H32"/>
  <sheetViews>
    <sheetView showGridLines="0" zoomScaleNormal="100" zoomScaleSheetLayoutView="90" workbookViewId="0"/>
  </sheetViews>
  <sheetFormatPr defaultRowHeight="12.75"/>
  <cols>
    <col min="1" max="1" width="9.140625" style="42"/>
    <col min="4" max="4" width="10" bestFit="1" customWidth="1"/>
    <col min="8" max="8" width="10.140625" customWidth="1"/>
  </cols>
  <sheetData>
    <row r="1" spans="1:8" ht="15" customHeight="1">
      <c r="A1" s="458" t="s">
        <v>526</v>
      </c>
    </row>
    <row r="3" spans="1:8">
      <c r="B3" s="42"/>
      <c r="C3" s="42"/>
      <c r="D3" s="42"/>
      <c r="E3" s="42"/>
      <c r="F3" s="42"/>
      <c r="G3" s="42"/>
      <c r="H3" s="42"/>
    </row>
    <row r="4" spans="1:8">
      <c r="B4" s="42"/>
      <c r="C4" s="42"/>
      <c r="D4" s="42"/>
      <c r="E4" s="42"/>
      <c r="F4" s="42"/>
      <c r="G4" s="42"/>
      <c r="H4" s="42"/>
    </row>
    <row r="5" spans="1:8">
      <c r="B5" s="42"/>
      <c r="C5" s="42"/>
      <c r="D5" s="42"/>
      <c r="E5" s="42"/>
      <c r="F5" s="42"/>
      <c r="G5" s="42"/>
      <c r="H5" s="42"/>
    </row>
    <row r="6" spans="1:8">
      <c r="B6" s="42"/>
      <c r="C6" s="42"/>
      <c r="D6" s="42"/>
      <c r="E6" s="42"/>
      <c r="F6" s="42"/>
      <c r="G6" s="42"/>
      <c r="H6" s="42"/>
    </row>
    <row r="7" spans="1:8">
      <c r="B7" s="42"/>
      <c r="C7" s="42"/>
      <c r="D7" s="42"/>
      <c r="E7" s="42"/>
      <c r="F7" s="42"/>
      <c r="G7" s="42"/>
      <c r="H7" s="42"/>
    </row>
    <row r="8" spans="1:8">
      <c r="B8" s="42"/>
      <c r="C8" s="42"/>
      <c r="D8" s="42"/>
      <c r="E8" s="42"/>
      <c r="F8" s="42"/>
      <c r="G8" s="42"/>
      <c r="H8" s="42"/>
    </row>
    <row r="9" spans="1:8">
      <c r="B9" s="42"/>
      <c r="C9" s="42"/>
      <c r="D9" s="42"/>
      <c r="E9" s="42"/>
      <c r="F9" s="42"/>
      <c r="G9" s="42"/>
      <c r="H9" s="42"/>
    </row>
    <row r="10" spans="1:8">
      <c r="B10" s="42"/>
      <c r="C10" s="42"/>
      <c r="D10" s="42"/>
      <c r="E10" s="42"/>
      <c r="F10" s="42"/>
      <c r="G10" s="42"/>
      <c r="H10" s="42"/>
    </row>
    <row r="11" spans="1:8">
      <c r="B11" s="42"/>
      <c r="C11" s="42"/>
      <c r="D11" s="42"/>
      <c r="E11" s="42"/>
      <c r="F11" s="42"/>
      <c r="G11" s="42"/>
      <c r="H11" s="42"/>
    </row>
    <row r="12" spans="1:8">
      <c r="B12" s="42"/>
      <c r="C12" s="42"/>
      <c r="D12" s="42"/>
      <c r="E12" s="42"/>
      <c r="F12" s="42"/>
      <c r="G12" s="42"/>
      <c r="H12" s="42"/>
    </row>
    <row r="13" spans="1:8">
      <c r="B13" s="42"/>
      <c r="C13" s="42"/>
      <c r="D13" s="42"/>
      <c r="E13" s="42"/>
      <c r="F13" s="42"/>
      <c r="G13" s="42"/>
      <c r="H13" s="42"/>
    </row>
    <row r="14" spans="1:8">
      <c r="B14" s="42"/>
      <c r="C14" s="42"/>
      <c r="D14" s="42"/>
      <c r="E14" s="42"/>
      <c r="F14" s="42"/>
      <c r="G14" s="42"/>
      <c r="H14" s="42"/>
    </row>
    <row r="15" spans="1:8">
      <c r="B15" s="42"/>
      <c r="C15" s="42"/>
      <c r="D15" s="42"/>
      <c r="E15" s="42"/>
      <c r="F15" s="42"/>
      <c r="G15" s="42"/>
      <c r="H15" s="42"/>
    </row>
    <row r="16" spans="1:8">
      <c r="B16" s="42"/>
      <c r="C16" s="42"/>
      <c r="D16" s="42"/>
      <c r="E16" s="42"/>
      <c r="F16" s="42"/>
      <c r="G16" s="42"/>
      <c r="H16" s="42"/>
    </row>
    <row r="17" spans="1:8">
      <c r="B17" s="42"/>
      <c r="C17" s="42"/>
      <c r="D17" s="42"/>
      <c r="E17" s="42"/>
      <c r="F17" s="42"/>
      <c r="G17" s="42"/>
      <c r="H17" s="42"/>
    </row>
    <row r="18" spans="1:8">
      <c r="B18" s="42"/>
      <c r="C18" s="42"/>
      <c r="D18" s="42"/>
      <c r="E18" s="42"/>
      <c r="F18" s="42"/>
      <c r="G18" s="42"/>
      <c r="H18" s="42"/>
    </row>
    <row r="19" spans="1:8">
      <c r="B19" s="42"/>
      <c r="C19" s="42"/>
      <c r="D19" s="42"/>
      <c r="E19" s="42"/>
      <c r="F19" s="42"/>
      <c r="G19" s="42"/>
      <c r="H19" s="42"/>
    </row>
    <row r="20" spans="1:8">
      <c r="B20" s="42"/>
      <c r="C20" s="42"/>
      <c r="D20" s="42"/>
      <c r="E20" s="42"/>
      <c r="F20" s="42"/>
      <c r="G20" s="42"/>
      <c r="H20" s="42"/>
    </row>
    <row r="21" spans="1:8" ht="9.75" customHeight="1">
      <c r="B21" s="42"/>
      <c r="C21" s="42"/>
      <c r="D21" s="42"/>
      <c r="E21" s="42"/>
      <c r="F21" s="42"/>
      <c r="G21" s="42"/>
      <c r="H21" s="42"/>
    </row>
    <row r="22" spans="1:8">
      <c r="B22" s="42"/>
      <c r="C22" s="42"/>
      <c r="D22" s="560" t="s">
        <v>506</v>
      </c>
      <c r="E22" s="42"/>
      <c r="F22" s="42"/>
      <c r="G22" s="42"/>
      <c r="H22" s="42"/>
    </row>
    <row r="25" spans="1:8">
      <c r="B25" s="330" t="s">
        <v>366</v>
      </c>
      <c r="C25" s="331"/>
      <c r="D25" s="332"/>
    </row>
    <row r="26" spans="1:8">
      <c r="B26" s="228"/>
      <c r="C26" s="208"/>
      <c r="D26" s="229">
        <v>2011</v>
      </c>
    </row>
    <row r="27" spans="1:8" ht="33.75">
      <c r="A27" s="27"/>
      <c r="B27" s="701" t="s">
        <v>229</v>
      </c>
      <c r="C27" s="703"/>
      <c r="D27" s="230" t="s">
        <v>69</v>
      </c>
    </row>
    <row r="28" spans="1:8">
      <c r="A28" s="27"/>
      <c r="B28" s="212" t="s">
        <v>71</v>
      </c>
      <c r="C28" s="16"/>
      <c r="D28" s="306">
        <f>A2.5.1!K4</f>
        <v>26658.272053000001</v>
      </c>
    </row>
    <row r="29" spans="1:8">
      <c r="A29" s="27"/>
      <c r="B29" s="212" t="s">
        <v>185</v>
      </c>
      <c r="C29" s="16"/>
      <c r="D29" s="306">
        <f>A2.5.1!K8</f>
        <v>6080.374546</v>
      </c>
    </row>
    <row r="30" spans="1:8">
      <c r="A30" s="27"/>
      <c r="B30" s="212" t="s">
        <v>136</v>
      </c>
      <c r="C30" s="16"/>
      <c r="D30" s="306">
        <f>A2.5.1!K5</f>
        <v>2989.3369539999999</v>
      </c>
    </row>
    <row r="31" spans="1:8">
      <c r="A31" s="225"/>
      <c r="B31" s="212" t="s">
        <v>379</v>
      </c>
      <c r="C31" s="16"/>
      <c r="D31" s="306">
        <f>D32-SUM(D28:D30)</f>
        <v>34861.51838899999</v>
      </c>
    </row>
    <row r="32" spans="1:8">
      <c r="A32" s="225"/>
      <c r="B32" s="74" t="s">
        <v>9</v>
      </c>
      <c r="C32" s="89"/>
      <c r="D32" s="307">
        <f>A2.5.1!K16</f>
        <v>70589.501941999988</v>
      </c>
    </row>
  </sheetData>
  <sortState ref="B35:D40">
    <sortCondition descending="1" ref="D35:D40"/>
  </sortState>
  <mergeCells count="1">
    <mergeCell ref="B27:C27"/>
  </mergeCells>
  <hyperlinks>
    <hyperlink ref="D22"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sheetPr codeName="Sheet33">
    <pageSetUpPr fitToPage="1"/>
  </sheetPr>
  <dimension ref="A1:E35"/>
  <sheetViews>
    <sheetView showGridLines="0" zoomScaleNormal="100" zoomScaleSheetLayoutView="90" workbookViewId="0"/>
  </sheetViews>
  <sheetFormatPr defaultRowHeight="12.75"/>
  <cols>
    <col min="1" max="1" width="9.140625" style="42"/>
    <col min="4" max="4" width="10" bestFit="1" customWidth="1"/>
  </cols>
  <sheetData>
    <row r="1" spans="1:1" ht="15" customHeight="1">
      <c r="A1" s="458" t="s">
        <v>476</v>
      </c>
    </row>
    <row r="22" spans="1:5">
      <c r="D22" s="560" t="s">
        <v>506</v>
      </c>
    </row>
    <row r="25" spans="1:5">
      <c r="B25" s="330" t="s">
        <v>367</v>
      </c>
      <c r="C25" s="331"/>
      <c r="D25" s="332"/>
    </row>
    <row r="26" spans="1:5">
      <c r="B26" s="228"/>
      <c r="C26" s="208"/>
      <c r="D26" s="229">
        <v>2011</v>
      </c>
    </row>
    <row r="27" spans="1:5" ht="33.75">
      <c r="A27" s="27"/>
      <c r="B27" s="701" t="s">
        <v>381</v>
      </c>
      <c r="C27" s="703"/>
      <c r="D27" s="230" t="s">
        <v>69</v>
      </c>
    </row>
    <row r="28" spans="1:5">
      <c r="A28" s="27"/>
      <c r="B28" s="212" t="s">
        <v>231</v>
      </c>
      <c r="C28" s="16"/>
      <c r="D28" s="306">
        <f>A2.7.1!K8</f>
        <v>52662.218226999998</v>
      </c>
    </row>
    <row r="29" spans="1:5">
      <c r="A29" s="27"/>
      <c r="B29" s="212" t="s">
        <v>230</v>
      </c>
      <c r="C29" s="16"/>
      <c r="D29" s="306">
        <f>A2.7.1!K11</f>
        <v>17350.250725000002</v>
      </c>
      <c r="E29" s="212"/>
    </row>
    <row r="30" spans="1:5">
      <c r="A30" s="27"/>
      <c r="B30" s="212" t="s">
        <v>79</v>
      </c>
      <c r="C30" s="16"/>
      <c r="D30" s="306">
        <f>A2.7.1!K4</f>
        <v>24225.105665999999</v>
      </c>
    </row>
    <row r="31" spans="1:5">
      <c r="A31" s="27"/>
      <c r="B31" s="212" t="s">
        <v>78</v>
      </c>
      <c r="C31" s="16"/>
      <c r="D31" s="306">
        <f>A2.7.1!K6</f>
        <v>12084.504411</v>
      </c>
    </row>
    <row r="32" spans="1:5">
      <c r="A32" s="27"/>
      <c r="B32" s="212" t="s">
        <v>187</v>
      </c>
      <c r="C32" s="16"/>
      <c r="D32" s="306">
        <f>A2.7.1!K12</f>
        <v>1106.0726320000001</v>
      </c>
    </row>
    <row r="33" spans="1:4">
      <c r="A33" s="27"/>
      <c r="B33" s="212" t="s">
        <v>150</v>
      </c>
      <c r="C33" s="16"/>
      <c r="D33" s="306">
        <f>A2.7.1!K9</f>
        <v>1506.2085529999999</v>
      </c>
    </row>
    <row r="34" spans="1:4">
      <c r="A34" s="225"/>
      <c r="B34" s="212" t="s">
        <v>380</v>
      </c>
      <c r="C34" s="16"/>
      <c r="D34" s="306">
        <f>D35-SUM(D28:D33)</f>
        <v>6033.6541100000177</v>
      </c>
    </row>
    <row r="35" spans="1:4">
      <c r="A35" s="225"/>
      <c r="B35" s="74" t="s">
        <v>9</v>
      </c>
      <c r="C35" s="89"/>
      <c r="D35" s="307">
        <f>A2.7.1!K19</f>
        <v>114968.01432400002</v>
      </c>
    </row>
  </sheetData>
  <sortState ref="B35:D43">
    <sortCondition descending="1" ref="D35:D43"/>
  </sortState>
  <mergeCells count="1">
    <mergeCell ref="B27:C27"/>
  </mergeCells>
  <hyperlinks>
    <hyperlink ref="D22"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sheetPr codeName="Sheet2" enableFormatConditionsCalculation="0">
    <pageSetUpPr fitToPage="1"/>
  </sheetPr>
  <dimension ref="A1:Q45"/>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6.28515625" style="2" customWidth="1"/>
    <col min="4" max="4" width="11.140625" style="2" bestFit="1" customWidth="1"/>
    <col min="5" max="6" width="9.7109375" style="2" customWidth="1"/>
    <col min="7" max="7" width="11.7109375" style="14" bestFit="1" customWidth="1"/>
    <col min="8" max="9" width="9.7109375" style="6" customWidth="1"/>
    <col min="10" max="10" width="11.42578125" style="6" bestFit="1" customWidth="1"/>
    <col min="11" max="12" width="9.7109375" style="6" customWidth="1"/>
    <col min="13" max="13" width="11.7109375" style="6" bestFit="1" customWidth="1"/>
    <col min="14" max="15" width="9.7109375" style="6" customWidth="1"/>
    <col min="16" max="16384" width="9.140625" style="10"/>
  </cols>
  <sheetData>
    <row r="1" spans="1:17" s="8" customFormat="1" ht="15" customHeight="1">
      <c r="A1" s="455" t="s">
        <v>427</v>
      </c>
      <c r="B1" s="455"/>
      <c r="C1" s="455"/>
      <c r="D1" s="564"/>
      <c r="E1" s="564"/>
      <c r="F1" s="78"/>
      <c r="G1" s="66"/>
      <c r="H1" s="4"/>
      <c r="I1" s="5"/>
      <c r="J1" s="4"/>
      <c r="K1" s="4"/>
      <c r="L1" s="4"/>
      <c r="M1" s="4"/>
      <c r="N1" s="4"/>
      <c r="O1" s="4"/>
    </row>
    <row r="2" spans="1:17" s="8" customFormat="1" ht="15" customHeight="1">
      <c r="A2" s="90"/>
      <c r="B2" s="91" t="s">
        <v>183</v>
      </c>
      <c r="C2" s="92"/>
      <c r="D2" s="84" t="s">
        <v>463</v>
      </c>
      <c r="E2" s="67"/>
      <c r="F2" s="67"/>
      <c r="G2" s="65" t="s">
        <v>464</v>
      </c>
      <c r="H2" s="67"/>
      <c r="I2" s="67"/>
      <c r="J2" s="65" t="s">
        <v>465</v>
      </c>
      <c r="K2" s="67"/>
      <c r="L2" s="67"/>
      <c r="M2" s="65" t="s">
        <v>466</v>
      </c>
      <c r="N2" s="67"/>
      <c r="O2" s="85"/>
      <c r="Q2" s="408"/>
    </row>
    <row r="3" spans="1:17" ht="33.75">
      <c r="A3" s="80"/>
      <c r="B3" s="703" t="s">
        <v>95</v>
      </c>
      <c r="C3" s="702"/>
      <c r="D3" s="32" t="s">
        <v>18</v>
      </c>
      <c r="E3" s="33" t="s">
        <v>68</v>
      </c>
      <c r="F3" s="33" t="s">
        <v>69</v>
      </c>
      <c r="G3" s="32" t="s">
        <v>18</v>
      </c>
      <c r="H3" s="33" t="s">
        <v>68</v>
      </c>
      <c r="I3" s="33" t="s">
        <v>69</v>
      </c>
      <c r="J3" s="32" t="s">
        <v>18</v>
      </c>
      <c r="K3" s="33" t="s">
        <v>68</v>
      </c>
      <c r="L3" s="33" t="s">
        <v>69</v>
      </c>
      <c r="M3" s="32" t="s">
        <v>18</v>
      </c>
      <c r="N3" s="33" t="s">
        <v>68</v>
      </c>
      <c r="O3" s="86" t="s">
        <v>69</v>
      </c>
      <c r="Q3" s="248"/>
    </row>
    <row r="4" spans="1:17" ht="13.35" customHeight="1">
      <c r="A4" s="49"/>
      <c r="B4" s="16" t="s">
        <v>19</v>
      </c>
      <c r="C4" s="16" t="s">
        <v>44</v>
      </c>
      <c r="D4" s="19">
        <v>85659</v>
      </c>
      <c r="E4" s="15">
        <v>-18478.97608</v>
      </c>
      <c r="F4" s="15">
        <v>0.57948200000000005</v>
      </c>
      <c r="G4" s="19">
        <v>84865</v>
      </c>
      <c r="H4" s="15">
        <v>-20426.367306</v>
      </c>
      <c r="I4" s="15">
        <v>0.67988000000000004</v>
      </c>
      <c r="J4" s="19">
        <v>84793</v>
      </c>
      <c r="K4" s="15">
        <v>-23777.041896999999</v>
      </c>
      <c r="L4" s="15">
        <v>0.44000499999999998</v>
      </c>
      <c r="M4" s="19">
        <v>74436</v>
      </c>
      <c r="N4" s="15">
        <v>-22680.740278000001</v>
      </c>
      <c r="O4" s="24">
        <v>1.849815</v>
      </c>
    </row>
    <row r="5" spans="1:17" s="51" customFormat="1" ht="13.35" customHeight="1">
      <c r="A5" s="49"/>
      <c r="B5" s="16" t="s">
        <v>20</v>
      </c>
      <c r="C5" s="50" t="s">
        <v>137</v>
      </c>
      <c r="D5" s="19">
        <v>207532</v>
      </c>
      <c r="E5" s="15">
        <v>0</v>
      </c>
      <c r="F5" s="15">
        <v>12.772212</v>
      </c>
      <c r="G5" s="19">
        <v>197231</v>
      </c>
      <c r="H5" s="15">
        <v>0</v>
      </c>
      <c r="I5" s="15">
        <v>5.3807859999999996</v>
      </c>
      <c r="J5" s="19">
        <v>197120</v>
      </c>
      <c r="K5" s="15">
        <v>0</v>
      </c>
      <c r="L5" s="15">
        <v>3.896979</v>
      </c>
      <c r="M5" s="19">
        <v>133945</v>
      </c>
      <c r="N5" s="15">
        <v>0</v>
      </c>
      <c r="O5" s="24">
        <v>1.2970410000000001</v>
      </c>
      <c r="Q5" s="248"/>
    </row>
    <row r="6" spans="1:17" ht="13.35" customHeight="1">
      <c r="A6" s="49"/>
      <c r="B6" s="16" t="s">
        <v>21</v>
      </c>
      <c r="C6" s="16" t="s">
        <v>45</v>
      </c>
      <c r="D6" s="19">
        <v>151675</v>
      </c>
      <c r="E6" s="15">
        <v>1505.7571989999999</v>
      </c>
      <c r="F6" s="15">
        <v>2.87947</v>
      </c>
      <c r="G6" s="19">
        <v>151480</v>
      </c>
      <c r="H6" s="15">
        <v>1488.8635939999999</v>
      </c>
      <c r="I6" s="15">
        <v>2.2118500000000001</v>
      </c>
      <c r="J6" s="19">
        <v>167657</v>
      </c>
      <c r="K6" s="15">
        <v>1628.7400640000001</v>
      </c>
      <c r="L6" s="15">
        <v>2.3103220000000002</v>
      </c>
      <c r="M6" s="19">
        <v>162315</v>
      </c>
      <c r="N6" s="15">
        <v>1612.573365</v>
      </c>
      <c r="O6" s="24">
        <v>2.2690890000000001</v>
      </c>
      <c r="Q6" s="248"/>
    </row>
    <row r="7" spans="1:17" ht="13.35" customHeight="1">
      <c r="A7" s="49"/>
      <c r="B7" s="16" t="s">
        <v>22</v>
      </c>
      <c r="C7" s="16" t="s">
        <v>46</v>
      </c>
      <c r="D7" s="19">
        <v>84889</v>
      </c>
      <c r="E7" s="15">
        <v>2141.4534520000002</v>
      </c>
      <c r="F7" s="15">
        <v>2.5415260000000002</v>
      </c>
      <c r="G7" s="19">
        <v>84258</v>
      </c>
      <c r="H7" s="15">
        <v>2120.2432050000002</v>
      </c>
      <c r="I7" s="15">
        <v>2.7704550000000001</v>
      </c>
      <c r="J7" s="19">
        <v>88408</v>
      </c>
      <c r="K7" s="15">
        <v>2229.029755</v>
      </c>
      <c r="L7" s="15">
        <v>1.8875390000000001</v>
      </c>
      <c r="M7" s="19">
        <v>87833</v>
      </c>
      <c r="N7" s="15">
        <v>2207.2534559999999</v>
      </c>
      <c r="O7" s="24">
        <v>2.4897330000000002</v>
      </c>
      <c r="Q7" s="21"/>
    </row>
    <row r="8" spans="1:17" ht="13.35" customHeight="1">
      <c r="A8" s="49"/>
      <c r="B8" s="16" t="s">
        <v>23</v>
      </c>
      <c r="C8" s="16" t="s">
        <v>47</v>
      </c>
      <c r="D8" s="19">
        <v>111804</v>
      </c>
      <c r="E8" s="15">
        <v>3966.6080630000001</v>
      </c>
      <c r="F8" s="15">
        <v>3.8072240000000002</v>
      </c>
      <c r="G8" s="19">
        <v>100843</v>
      </c>
      <c r="H8" s="15">
        <v>3559.393435</v>
      </c>
      <c r="I8" s="15">
        <v>3.8156330000000001</v>
      </c>
      <c r="J8" s="19">
        <v>100410</v>
      </c>
      <c r="K8" s="15">
        <v>3526.9098939999999</v>
      </c>
      <c r="L8" s="15">
        <v>3.278289</v>
      </c>
      <c r="M8" s="19">
        <v>97798</v>
      </c>
      <c r="N8" s="15">
        <v>3438.9769860000001</v>
      </c>
      <c r="O8" s="24">
        <v>2.7898109999999998</v>
      </c>
    </row>
    <row r="9" spans="1:17" ht="13.35" customHeight="1">
      <c r="A9" s="49"/>
      <c r="B9" s="16" t="s">
        <v>24</v>
      </c>
      <c r="C9" s="16" t="s">
        <v>48</v>
      </c>
      <c r="D9" s="19">
        <v>159496</v>
      </c>
      <c r="E9" s="15">
        <v>7158.5590739999998</v>
      </c>
      <c r="F9" s="15">
        <v>63.228602000000002</v>
      </c>
      <c r="G9" s="19">
        <v>153340</v>
      </c>
      <c r="H9" s="15">
        <v>6938.9351150000002</v>
      </c>
      <c r="I9" s="15">
        <v>23.473680999999999</v>
      </c>
      <c r="J9" s="19">
        <v>121604</v>
      </c>
      <c r="K9" s="15">
        <v>5515.6432050000003</v>
      </c>
      <c r="L9" s="15">
        <v>5.7374799999999997</v>
      </c>
      <c r="M9" s="19">
        <v>111759</v>
      </c>
      <c r="N9" s="15">
        <v>5054.905162</v>
      </c>
      <c r="O9" s="24">
        <v>3.9742959999999998</v>
      </c>
    </row>
    <row r="10" spans="1:17" s="51" customFormat="1" ht="13.35" customHeight="1">
      <c r="A10" s="49"/>
      <c r="B10" s="16" t="s">
        <v>25</v>
      </c>
      <c r="C10" s="16" t="s">
        <v>49</v>
      </c>
      <c r="D10" s="19">
        <v>157167</v>
      </c>
      <c r="E10" s="15">
        <v>8670.949063</v>
      </c>
      <c r="F10" s="15">
        <v>308.52961199999999</v>
      </c>
      <c r="G10" s="19">
        <v>158823</v>
      </c>
      <c r="H10" s="15">
        <v>8788.054365</v>
      </c>
      <c r="I10" s="15">
        <v>241.67563000000001</v>
      </c>
      <c r="J10" s="19">
        <v>179821</v>
      </c>
      <c r="K10" s="15">
        <v>9914.4713200000006</v>
      </c>
      <c r="L10" s="15">
        <v>53.160902</v>
      </c>
      <c r="M10" s="19">
        <v>163852</v>
      </c>
      <c r="N10" s="15">
        <v>9093.076035</v>
      </c>
      <c r="O10" s="24">
        <v>17.721640000000001</v>
      </c>
    </row>
    <row r="11" spans="1:17" s="1" customFormat="1" ht="13.35" customHeight="1">
      <c r="A11" s="26"/>
      <c r="B11" s="16" t="s">
        <v>26</v>
      </c>
      <c r="C11" s="16" t="s">
        <v>50</v>
      </c>
      <c r="D11" s="19">
        <v>173500</v>
      </c>
      <c r="E11" s="15">
        <v>11293.188166</v>
      </c>
      <c r="F11" s="15">
        <v>610.81198099999995</v>
      </c>
      <c r="G11" s="19">
        <v>180714</v>
      </c>
      <c r="H11" s="15">
        <v>11753.544259</v>
      </c>
      <c r="I11" s="15">
        <v>556.83068600000001</v>
      </c>
      <c r="J11" s="19">
        <v>198183</v>
      </c>
      <c r="K11" s="15">
        <v>12918.756176999999</v>
      </c>
      <c r="L11" s="15">
        <v>355.67373400000002</v>
      </c>
      <c r="M11" s="19">
        <v>176780</v>
      </c>
      <c r="N11" s="15">
        <v>11514.234407</v>
      </c>
      <c r="O11" s="24">
        <v>234.596453</v>
      </c>
    </row>
    <row r="12" spans="1:17" s="1" customFormat="1" ht="13.35" customHeight="1">
      <c r="A12" s="26"/>
      <c r="B12" s="16" t="s">
        <v>27</v>
      </c>
      <c r="C12" s="16" t="s">
        <v>51</v>
      </c>
      <c r="D12" s="19">
        <v>178694</v>
      </c>
      <c r="E12" s="15">
        <v>13403.303075</v>
      </c>
      <c r="F12" s="15">
        <v>956.83931900000005</v>
      </c>
      <c r="G12" s="19">
        <v>183968</v>
      </c>
      <c r="H12" s="15">
        <v>13796.108563</v>
      </c>
      <c r="I12" s="15">
        <v>865.72600699999998</v>
      </c>
      <c r="J12" s="19">
        <v>198733</v>
      </c>
      <c r="K12" s="15">
        <v>14906.973986999999</v>
      </c>
      <c r="L12" s="15">
        <v>671.79382199999998</v>
      </c>
      <c r="M12" s="19">
        <v>209444</v>
      </c>
      <c r="N12" s="15">
        <v>15700.000195000001</v>
      </c>
      <c r="O12" s="24">
        <v>619.43797400000005</v>
      </c>
    </row>
    <row r="13" spans="1:17" s="1" customFormat="1" ht="13.35" customHeight="1">
      <c r="A13" s="26"/>
      <c r="B13" s="27" t="s">
        <v>28</v>
      </c>
      <c r="C13" s="27" t="s">
        <v>52</v>
      </c>
      <c r="D13" s="19">
        <v>190156</v>
      </c>
      <c r="E13" s="15">
        <v>16183.355928000001</v>
      </c>
      <c r="F13" s="15">
        <v>1379.9428789999999</v>
      </c>
      <c r="G13" s="19">
        <v>181262</v>
      </c>
      <c r="H13" s="15">
        <v>15408.094588</v>
      </c>
      <c r="I13" s="15">
        <v>1198.834916</v>
      </c>
      <c r="J13" s="19">
        <v>190949</v>
      </c>
      <c r="K13" s="15">
        <v>16230.307053</v>
      </c>
      <c r="L13" s="15">
        <v>960.86131699999999</v>
      </c>
      <c r="M13" s="19">
        <v>191161</v>
      </c>
      <c r="N13" s="15">
        <v>16253.743482</v>
      </c>
      <c r="O13" s="24">
        <v>868.13153499999999</v>
      </c>
    </row>
    <row r="14" spans="1:17" s="1" customFormat="1" ht="13.35" customHeight="1">
      <c r="A14" s="26"/>
      <c r="B14" s="27" t="s">
        <v>29</v>
      </c>
      <c r="C14" s="27" t="s">
        <v>53</v>
      </c>
      <c r="D14" s="19">
        <v>196622</v>
      </c>
      <c r="E14" s="15">
        <v>18680.676592</v>
      </c>
      <c r="F14" s="15">
        <v>1786.2698170000001</v>
      </c>
      <c r="G14" s="19">
        <v>187725</v>
      </c>
      <c r="H14" s="15">
        <v>17861.406835999998</v>
      </c>
      <c r="I14" s="15">
        <v>1596.319904</v>
      </c>
      <c r="J14" s="19">
        <v>185979</v>
      </c>
      <c r="K14" s="15">
        <v>17659.990028</v>
      </c>
      <c r="L14" s="15">
        <v>1286.979732</v>
      </c>
      <c r="M14" s="19">
        <v>171710</v>
      </c>
      <c r="N14" s="15">
        <v>16314.749596</v>
      </c>
      <c r="O14" s="24">
        <v>1093.727161</v>
      </c>
    </row>
    <row r="15" spans="1:17" customFormat="1" ht="13.35" customHeight="1">
      <c r="A15" s="26"/>
      <c r="B15" s="27" t="s">
        <v>30</v>
      </c>
      <c r="C15" s="27" t="s">
        <v>54</v>
      </c>
      <c r="D15" s="19">
        <v>203544</v>
      </c>
      <c r="E15" s="15">
        <v>21400.698236</v>
      </c>
      <c r="F15" s="15">
        <v>2231.0675430000001</v>
      </c>
      <c r="G15" s="19">
        <v>199688</v>
      </c>
      <c r="H15" s="15">
        <v>20951.791476999999</v>
      </c>
      <c r="I15" s="15">
        <v>2062.0415520000001</v>
      </c>
      <c r="J15" s="19">
        <v>184224</v>
      </c>
      <c r="K15" s="15">
        <v>19356.594233</v>
      </c>
      <c r="L15" s="15">
        <v>1618.1679799999999</v>
      </c>
      <c r="M15" s="19">
        <v>169651</v>
      </c>
      <c r="N15" s="15">
        <v>17797.578802</v>
      </c>
      <c r="O15" s="24">
        <v>1393.6459090000001</v>
      </c>
    </row>
    <row r="16" spans="1:17" customFormat="1" ht="13.35" customHeight="1">
      <c r="A16" s="26"/>
      <c r="B16" s="27" t="s">
        <v>31</v>
      </c>
      <c r="C16" s="27" t="s">
        <v>55</v>
      </c>
      <c r="D16" s="19">
        <v>224039</v>
      </c>
      <c r="E16" s="15">
        <v>25761.134683</v>
      </c>
      <c r="F16" s="15">
        <v>2906.9569139999999</v>
      </c>
      <c r="G16" s="19">
        <v>187771</v>
      </c>
      <c r="H16" s="15">
        <v>21607.264070000001</v>
      </c>
      <c r="I16" s="15">
        <v>2284.9514389999999</v>
      </c>
      <c r="J16" s="19">
        <v>195837</v>
      </c>
      <c r="K16" s="15">
        <v>22531.626069000002</v>
      </c>
      <c r="L16" s="15">
        <v>2083.6988809999998</v>
      </c>
      <c r="M16" s="19">
        <v>168432</v>
      </c>
      <c r="N16" s="15">
        <v>19396.094899</v>
      </c>
      <c r="O16" s="24">
        <v>1698.339422</v>
      </c>
    </row>
    <row r="17" spans="1:15" customFormat="1" ht="13.35" customHeight="1">
      <c r="A17" s="26"/>
      <c r="B17" s="27" t="s">
        <v>32</v>
      </c>
      <c r="C17" s="27" t="s">
        <v>56</v>
      </c>
      <c r="D17" s="19">
        <v>187573</v>
      </c>
      <c r="E17" s="15">
        <v>23421.339852000001</v>
      </c>
      <c r="F17" s="15">
        <v>2886.2899229999998</v>
      </c>
      <c r="G17" s="19">
        <v>202898</v>
      </c>
      <c r="H17" s="15">
        <v>25388.177600999999</v>
      </c>
      <c r="I17" s="15">
        <v>2893.6127000000001</v>
      </c>
      <c r="J17" s="19">
        <v>176111</v>
      </c>
      <c r="K17" s="15">
        <v>22006.470162000001</v>
      </c>
      <c r="L17" s="15">
        <v>2188.3208450000002</v>
      </c>
      <c r="M17" s="19">
        <v>172334</v>
      </c>
      <c r="N17" s="15">
        <v>21539.305335000001</v>
      </c>
      <c r="O17" s="24">
        <v>2051.6861589999999</v>
      </c>
    </row>
    <row r="18" spans="1:15" customFormat="1" ht="13.35" customHeight="1">
      <c r="A18" s="26"/>
      <c r="B18" s="27" t="s">
        <v>33</v>
      </c>
      <c r="C18" s="27" t="s">
        <v>57</v>
      </c>
      <c r="D18" s="19">
        <v>178298</v>
      </c>
      <c r="E18" s="15">
        <v>24073.927230000001</v>
      </c>
      <c r="F18" s="15">
        <v>3197.746279</v>
      </c>
      <c r="G18" s="19">
        <v>206014</v>
      </c>
      <c r="H18" s="15">
        <v>27782.804241999998</v>
      </c>
      <c r="I18" s="15">
        <v>3441.6721910000001</v>
      </c>
      <c r="J18" s="19">
        <v>165037</v>
      </c>
      <c r="K18" s="15">
        <v>22273.702191</v>
      </c>
      <c r="L18" s="15">
        <v>2388.1836229999999</v>
      </c>
      <c r="M18" s="19">
        <v>159124</v>
      </c>
      <c r="N18" s="15">
        <v>21472.782523999998</v>
      </c>
      <c r="O18" s="24">
        <v>2181.6020079999998</v>
      </c>
    </row>
    <row r="19" spans="1:15" customFormat="1" ht="13.35" customHeight="1">
      <c r="A19" s="26"/>
      <c r="B19" s="27" t="s">
        <v>34</v>
      </c>
      <c r="C19" s="27" t="s">
        <v>58</v>
      </c>
      <c r="D19" s="19">
        <v>165879</v>
      </c>
      <c r="E19" s="15">
        <v>24029.622977999999</v>
      </c>
      <c r="F19" s="15">
        <v>3383.619541</v>
      </c>
      <c r="G19" s="19">
        <v>168183</v>
      </c>
      <c r="H19" s="15">
        <v>24374.633846000001</v>
      </c>
      <c r="I19" s="15">
        <v>3225.9521930000001</v>
      </c>
      <c r="J19" s="19">
        <v>174820</v>
      </c>
      <c r="K19" s="15">
        <v>25372.407694000001</v>
      </c>
      <c r="L19" s="15">
        <v>2979.7706910000002</v>
      </c>
      <c r="M19" s="19">
        <v>151207</v>
      </c>
      <c r="N19" s="15">
        <v>21927.428603</v>
      </c>
      <c r="O19" s="24">
        <v>2402.891705</v>
      </c>
    </row>
    <row r="20" spans="1:15" customFormat="1" ht="13.35" customHeight="1">
      <c r="A20" s="26"/>
      <c r="B20" s="27" t="s">
        <v>35</v>
      </c>
      <c r="C20" s="87" t="s">
        <v>59</v>
      </c>
      <c r="D20" s="19">
        <v>514320</v>
      </c>
      <c r="E20" s="15">
        <v>88375.339057000005</v>
      </c>
      <c r="F20" s="15">
        <v>13987.496904</v>
      </c>
      <c r="G20" s="19">
        <v>625553</v>
      </c>
      <c r="H20" s="15">
        <v>107794.853634</v>
      </c>
      <c r="I20" s="15">
        <v>16279.458818999999</v>
      </c>
      <c r="J20" s="19">
        <v>699836</v>
      </c>
      <c r="K20" s="15">
        <v>120962.65972700001</v>
      </c>
      <c r="L20" s="15">
        <v>16794.745900000002</v>
      </c>
      <c r="M20" s="19">
        <v>696932</v>
      </c>
      <c r="N20" s="15">
        <v>120934.77722</v>
      </c>
      <c r="O20" s="24">
        <v>16090.907244</v>
      </c>
    </row>
    <row r="21" spans="1:15" customFormat="1" ht="13.35" customHeight="1">
      <c r="A21" s="26"/>
      <c r="B21" s="27" t="s">
        <v>36</v>
      </c>
      <c r="C21" s="27" t="s">
        <v>60</v>
      </c>
      <c r="D21" s="19">
        <v>455965</v>
      </c>
      <c r="E21" s="15">
        <v>110576.141192</v>
      </c>
      <c r="F21" s="15">
        <v>21826.630181</v>
      </c>
      <c r="G21" s="19">
        <v>551699</v>
      </c>
      <c r="H21" s="15">
        <v>133804.02233400001</v>
      </c>
      <c r="I21" s="15">
        <v>25267.558005999999</v>
      </c>
      <c r="J21" s="19">
        <v>619723</v>
      </c>
      <c r="K21" s="15">
        <v>149731.62394699999</v>
      </c>
      <c r="L21" s="15">
        <v>26512.619982</v>
      </c>
      <c r="M21" s="19">
        <v>684697</v>
      </c>
      <c r="N21" s="15">
        <v>165182.67295499999</v>
      </c>
      <c r="O21" s="24">
        <v>28198.434355000001</v>
      </c>
    </row>
    <row r="22" spans="1:15" customFormat="1" ht="13.35" customHeight="1">
      <c r="A22" s="26"/>
      <c r="B22" s="27" t="s">
        <v>37</v>
      </c>
      <c r="C22" s="27" t="s">
        <v>61</v>
      </c>
      <c r="D22" s="19">
        <v>202524</v>
      </c>
      <c r="E22" s="15">
        <v>69675.281314000007</v>
      </c>
      <c r="F22" s="15">
        <v>16567.123770999999</v>
      </c>
      <c r="G22" s="19">
        <v>248740</v>
      </c>
      <c r="H22" s="15">
        <v>85592.603524999999</v>
      </c>
      <c r="I22" s="15">
        <v>19672.841035000001</v>
      </c>
      <c r="J22" s="19">
        <v>269775</v>
      </c>
      <c r="K22" s="15">
        <v>92730.280245999995</v>
      </c>
      <c r="L22" s="15">
        <v>20487.159628000001</v>
      </c>
      <c r="M22" s="19">
        <v>299076</v>
      </c>
      <c r="N22" s="15">
        <v>103129.091207</v>
      </c>
      <c r="O22" s="24">
        <v>22132.598706000001</v>
      </c>
    </row>
    <row r="23" spans="1:15" customFormat="1" ht="13.35" customHeight="1">
      <c r="A23" s="26"/>
      <c r="B23" s="27" t="s">
        <v>38</v>
      </c>
      <c r="C23" s="27" t="s">
        <v>62</v>
      </c>
      <c r="D23" s="19">
        <v>104865</v>
      </c>
      <c r="E23" s="15">
        <v>46658.551199000001</v>
      </c>
      <c r="F23" s="15">
        <v>12415.139368</v>
      </c>
      <c r="G23" s="19">
        <v>130478</v>
      </c>
      <c r="H23" s="15">
        <v>58121.278549000002</v>
      </c>
      <c r="I23" s="15">
        <v>15066.468892000001</v>
      </c>
      <c r="J23" s="19">
        <v>136702</v>
      </c>
      <c r="K23" s="15">
        <v>60892.403882999999</v>
      </c>
      <c r="L23" s="15">
        <v>15367.033933000001</v>
      </c>
      <c r="M23" s="19">
        <v>154380</v>
      </c>
      <c r="N23" s="15">
        <v>68655.013542999994</v>
      </c>
      <c r="O23" s="24">
        <v>16893.117251</v>
      </c>
    </row>
    <row r="24" spans="1:15" customFormat="1" ht="13.35" customHeight="1">
      <c r="A24" s="26"/>
      <c r="B24" s="27" t="s">
        <v>39</v>
      </c>
      <c r="C24" s="27" t="s">
        <v>63</v>
      </c>
      <c r="D24" s="19">
        <v>105634</v>
      </c>
      <c r="E24" s="15">
        <v>63386.241349999997</v>
      </c>
      <c r="F24" s="15">
        <v>18686.773476999999</v>
      </c>
      <c r="G24" s="19">
        <v>133107</v>
      </c>
      <c r="H24" s="15">
        <v>79836.953888000004</v>
      </c>
      <c r="I24" s="15">
        <v>23189.649103</v>
      </c>
      <c r="J24" s="19">
        <v>146669</v>
      </c>
      <c r="K24" s="15">
        <v>87824.807704000006</v>
      </c>
      <c r="L24" s="15">
        <v>25217.746147999998</v>
      </c>
      <c r="M24" s="19">
        <v>167066</v>
      </c>
      <c r="N24" s="15">
        <v>100252.96752000001</v>
      </c>
      <c r="O24" s="24">
        <v>28255.500123999998</v>
      </c>
    </row>
    <row r="25" spans="1:15" customFormat="1" ht="13.35" customHeight="1">
      <c r="A25" s="26"/>
      <c r="B25" s="27" t="s">
        <v>40</v>
      </c>
      <c r="C25" s="27" t="s">
        <v>64</v>
      </c>
      <c r="D25" s="19">
        <v>36174</v>
      </c>
      <c r="E25" s="15">
        <v>31004.892649000001</v>
      </c>
      <c r="F25" s="15">
        <v>9942.3473250000006</v>
      </c>
      <c r="G25" s="19">
        <v>45411</v>
      </c>
      <c r="H25" s="15">
        <v>38922.845565000003</v>
      </c>
      <c r="I25" s="15">
        <v>12395.803076</v>
      </c>
      <c r="J25" s="19">
        <v>47403</v>
      </c>
      <c r="K25" s="15">
        <v>40581.778998000002</v>
      </c>
      <c r="L25" s="15">
        <v>12999.968876999999</v>
      </c>
      <c r="M25" s="19">
        <v>55352</v>
      </c>
      <c r="N25" s="15">
        <v>47381.927749000002</v>
      </c>
      <c r="O25" s="24">
        <v>14974.318834</v>
      </c>
    </row>
    <row r="26" spans="1:15" customFormat="1" ht="13.35" customHeight="1">
      <c r="A26" s="26"/>
      <c r="B26" s="27" t="s">
        <v>41</v>
      </c>
      <c r="C26" s="27" t="s">
        <v>65</v>
      </c>
      <c r="D26" s="19">
        <v>34622</v>
      </c>
      <c r="E26" s="15">
        <v>46238.062748999997</v>
      </c>
      <c r="F26" s="15">
        <v>15874.822190999999</v>
      </c>
      <c r="G26" s="19">
        <v>42351</v>
      </c>
      <c r="H26" s="15">
        <v>56422.661388</v>
      </c>
      <c r="I26" s="15">
        <v>19365.733843000002</v>
      </c>
      <c r="J26" s="19">
        <v>41704</v>
      </c>
      <c r="K26" s="15">
        <v>55402.230833000001</v>
      </c>
      <c r="L26" s="15">
        <v>19324.956696000001</v>
      </c>
      <c r="M26" s="19">
        <v>48448</v>
      </c>
      <c r="N26" s="15">
        <v>64176.850581999999</v>
      </c>
      <c r="O26" s="24">
        <v>22182.310677000001</v>
      </c>
    </row>
    <row r="27" spans="1:15" customFormat="1" ht="13.35" customHeight="1">
      <c r="A27" s="26"/>
      <c r="B27" s="27" t="s">
        <v>42</v>
      </c>
      <c r="C27" s="27" t="s">
        <v>66</v>
      </c>
      <c r="D27" s="19">
        <v>10343</v>
      </c>
      <c r="E27" s="15">
        <v>29681.548669</v>
      </c>
      <c r="F27" s="15">
        <v>11030.649668</v>
      </c>
      <c r="G27" s="19">
        <v>11794</v>
      </c>
      <c r="H27" s="15">
        <v>33849.326774000001</v>
      </c>
      <c r="I27" s="15">
        <v>12587.868770999999</v>
      </c>
      <c r="J27" s="19">
        <v>11146</v>
      </c>
      <c r="K27" s="15">
        <v>31850.701604000002</v>
      </c>
      <c r="L27" s="15">
        <v>11976.505303</v>
      </c>
      <c r="M27" s="19">
        <v>12853</v>
      </c>
      <c r="N27" s="15">
        <v>36548.750010000003</v>
      </c>
      <c r="O27" s="24">
        <v>13696.563759000001</v>
      </c>
    </row>
    <row r="28" spans="1:15" customFormat="1" ht="13.35" customHeight="1">
      <c r="A28" s="26"/>
      <c r="B28" s="27" t="s">
        <v>43</v>
      </c>
      <c r="C28" s="27" t="s">
        <v>67</v>
      </c>
      <c r="D28" s="19">
        <v>2257</v>
      </c>
      <c r="E28" s="15">
        <v>23762.835186</v>
      </c>
      <c r="F28" s="15">
        <v>9459.0958580000006</v>
      </c>
      <c r="G28" s="19">
        <v>2211</v>
      </c>
      <c r="H28" s="15">
        <v>21081.801705000002</v>
      </c>
      <c r="I28" s="15">
        <v>8300.8522549999998</v>
      </c>
      <c r="J28" s="19">
        <v>1875</v>
      </c>
      <c r="K28" s="15">
        <v>17885.474160000002</v>
      </c>
      <c r="L28" s="15">
        <v>7266.5205450000003</v>
      </c>
      <c r="M28" s="19">
        <v>2107</v>
      </c>
      <c r="N28" s="15">
        <v>18337.030361000001</v>
      </c>
      <c r="O28" s="24">
        <v>7162.7597459999997</v>
      </c>
    </row>
    <row r="29" spans="1:15" customFormat="1" ht="13.35" customHeight="1">
      <c r="A29" s="88"/>
      <c r="B29" s="75" t="s">
        <v>9</v>
      </c>
      <c r="C29" s="89"/>
      <c r="D29" s="20">
        <f t="shared" ref="D29:O29" si="0">SUM(D4:D28)</f>
        <v>4123231</v>
      </c>
      <c r="E29" s="18">
        <f>SUM(E4:E28)</f>
        <v>692570.49087600014</v>
      </c>
      <c r="F29" s="18">
        <f t="shared" si="0"/>
        <v>149523.961067</v>
      </c>
      <c r="G29" s="20">
        <f t="shared" si="0"/>
        <v>4420407</v>
      </c>
      <c r="H29" s="18">
        <f t="shared" si="0"/>
        <v>796819.29525199987</v>
      </c>
      <c r="I29" s="18">
        <f t="shared" si="0"/>
        <v>170532.18330300003</v>
      </c>
      <c r="J29" s="20">
        <f t="shared" si="0"/>
        <v>4584519</v>
      </c>
      <c r="K29" s="18">
        <f t="shared" si="0"/>
        <v>830156.54103700002</v>
      </c>
      <c r="L29" s="18">
        <f t="shared" si="0"/>
        <v>170551.41915300005</v>
      </c>
      <c r="M29" s="20">
        <f t="shared" si="0"/>
        <v>4522692</v>
      </c>
      <c r="N29" s="18">
        <f t="shared" si="0"/>
        <v>885241.04371599993</v>
      </c>
      <c r="O29" s="25">
        <f t="shared" si="0"/>
        <v>182162.96044700002</v>
      </c>
    </row>
    <row r="30" spans="1:15" customFormat="1" ht="13.35" customHeight="1">
      <c r="A30" s="26"/>
      <c r="B30" s="27"/>
      <c r="C30" s="16" t="s">
        <v>273</v>
      </c>
      <c r="D30" s="19">
        <f t="shared" ref="D30:O30" si="1">SUM(D4:D5)</f>
        <v>293191</v>
      </c>
      <c r="E30" s="15">
        <f t="shared" si="1"/>
        <v>-18478.97608</v>
      </c>
      <c r="F30" s="15">
        <f t="shared" si="1"/>
        <v>13.351694</v>
      </c>
      <c r="G30" s="19">
        <f t="shared" si="1"/>
        <v>282096</v>
      </c>
      <c r="H30" s="15">
        <f t="shared" si="1"/>
        <v>-20426.367306</v>
      </c>
      <c r="I30" s="15">
        <f t="shared" si="1"/>
        <v>6.0606659999999994</v>
      </c>
      <c r="J30" s="19">
        <f t="shared" si="1"/>
        <v>281913</v>
      </c>
      <c r="K30" s="15">
        <f t="shared" si="1"/>
        <v>-23777.041896999999</v>
      </c>
      <c r="L30" s="15">
        <f t="shared" si="1"/>
        <v>4.3369840000000002</v>
      </c>
      <c r="M30" s="19">
        <f t="shared" si="1"/>
        <v>208381</v>
      </c>
      <c r="N30" s="15">
        <f t="shared" si="1"/>
        <v>-22680.740278000001</v>
      </c>
      <c r="O30" s="24">
        <f t="shared" si="1"/>
        <v>3.1468560000000001</v>
      </c>
    </row>
    <row r="31" spans="1:15" customFormat="1" ht="13.35" customHeight="1">
      <c r="A31" s="26"/>
      <c r="B31" s="27"/>
      <c r="C31" s="16" t="s">
        <v>274</v>
      </c>
      <c r="D31" s="19">
        <f t="shared" ref="D31:O31" si="2">SUM(D6:D10)</f>
        <v>665031</v>
      </c>
      <c r="E31" s="15">
        <f t="shared" si="2"/>
        <v>23443.326851000002</v>
      </c>
      <c r="F31" s="15">
        <f t="shared" si="2"/>
        <v>380.98643399999997</v>
      </c>
      <c r="G31" s="19">
        <f t="shared" si="2"/>
        <v>648744</v>
      </c>
      <c r="H31" s="15">
        <f t="shared" si="2"/>
        <v>22895.489713999999</v>
      </c>
      <c r="I31" s="15">
        <f t="shared" si="2"/>
        <v>273.947249</v>
      </c>
      <c r="J31" s="19">
        <f t="shared" si="2"/>
        <v>657900</v>
      </c>
      <c r="K31" s="15">
        <f t="shared" si="2"/>
        <v>22814.794238000002</v>
      </c>
      <c r="L31" s="15">
        <f t="shared" si="2"/>
        <v>66.374532000000002</v>
      </c>
      <c r="M31" s="19">
        <f t="shared" si="2"/>
        <v>623557</v>
      </c>
      <c r="N31" s="15">
        <f t="shared" si="2"/>
        <v>21406.785003999998</v>
      </c>
      <c r="O31" s="24">
        <f t="shared" si="2"/>
        <v>29.244569000000002</v>
      </c>
    </row>
    <row r="32" spans="1:15" customFormat="1" ht="13.35" customHeight="1">
      <c r="A32" s="26"/>
      <c r="B32" s="27"/>
      <c r="C32" s="16" t="s">
        <v>275</v>
      </c>
      <c r="D32" s="19">
        <f t="shared" ref="D32:O32" si="3">SUM(D11:D16)</f>
        <v>1166555</v>
      </c>
      <c r="E32" s="15">
        <f t="shared" si="3"/>
        <v>106722.35668</v>
      </c>
      <c r="F32" s="15">
        <f t="shared" si="3"/>
        <v>9871.8884529999996</v>
      </c>
      <c r="G32" s="19">
        <f t="shared" si="3"/>
        <v>1121128</v>
      </c>
      <c r="H32" s="15">
        <f t="shared" si="3"/>
        <v>101378.20979299999</v>
      </c>
      <c r="I32" s="15">
        <f t="shared" si="3"/>
        <v>8564.7045040000012</v>
      </c>
      <c r="J32" s="19">
        <f t="shared" si="3"/>
        <v>1153905</v>
      </c>
      <c r="K32" s="15">
        <f t="shared" si="3"/>
        <v>103604.24754700001</v>
      </c>
      <c r="L32" s="15">
        <f t="shared" si="3"/>
        <v>6977.1754660000006</v>
      </c>
      <c r="M32" s="19">
        <f t="shared" si="3"/>
        <v>1087178</v>
      </c>
      <c r="N32" s="15">
        <f t="shared" si="3"/>
        <v>96976.401381000003</v>
      </c>
      <c r="O32" s="24">
        <f t="shared" si="3"/>
        <v>5907.8784539999997</v>
      </c>
    </row>
    <row r="33" spans="1:15" customFormat="1" ht="13.35" customHeight="1">
      <c r="A33" s="26"/>
      <c r="B33" s="27"/>
      <c r="C33" s="27" t="s">
        <v>276</v>
      </c>
      <c r="D33" s="19">
        <f t="shared" ref="D33:O33" si="4">SUM(D17:D22)</f>
        <v>1704559</v>
      </c>
      <c r="E33" s="15">
        <f t="shared" si="4"/>
        <v>340151.65162300004</v>
      </c>
      <c r="F33" s="15">
        <f t="shared" si="4"/>
        <v>61848.906598999994</v>
      </c>
      <c r="G33" s="19">
        <f t="shared" si="4"/>
        <v>2003087</v>
      </c>
      <c r="H33" s="15">
        <f t="shared" si="4"/>
        <v>404737.09518200002</v>
      </c>
      <c r="I33" s="15">
        <f t="shared" si="4"/>
        <v>70781.094943999997</v>
      </c>
      <c r="J33" s="19">
        <f t="shared" si="4"/>
        <v>2105302</v>
      </c>
      <c r="K33" s="15">
        <f t="shared" si="4"/>
        <v>433077.14396700001</v>
      </c>
      <c r="L33" s="15">
        <f t="shared" si="4"/>
        <v>71350.800669000004</v>
      </c>
      <c r="M33" s="19">
        <f t="shared" si="4"/>
        <v>2163370</v>
      </c>
      <c r="N33" s="15">
        <f t="shared" si="4"/>
        <v>454186.057844</v>
      </c>
      <c r="O33" s="24">
        <f t="shared" si="4"/>
        <v>73058.120177000004</v>
      </c>
    </row>
    <row r="34" spans="1:15" customFormat="1" ht="13.35" customHeight="1">
      <c r="A34" s="26"/>
      <c r="B34" s="27"/>
      <c r="C34" s="246" t="s">
        <v>515</v>
      </c>
      <c r="D34" s="19">
        <f t="shared" ref="D34:O34" si="5">SUM(D23:D28)</f>
        <v>293895</v>
      </c>
      <c r="E34" s="15">
        <f t="shared" si="5"/>
        <v>240732.13180200002</v>
      </c>
      <c r="F34" s="15">
        <f t="shared" si="5"/>
        <v>77408.827887000007</v>
      </c>
      <c r="G34" s="19">
        <f t="shared" si="5"/>
        <v>365352</v>
      </c>
      <c r="H34" s="15">
        <f t="shared" si="5"/>
        <v>288234.86786900001</v>
      </c>
      <c r="I34" s="15">
        <f t="shared" si="5"/>
        <v>90906.375940000013</v>
      </c>
      <c r="J34" s="19">
        <f t="shared" si="5"/>
        <v>385499</v>
      </c>
      <c r="K34" s="15">
        <f t="shared" si="5"/>
        <v>294437.39718199999</v>
      </c>
      <c r="L34" s="15">
        <f t="shared" si="5"/>
        <v>92152.731501999995</v>
      </c>
      <c r="M34" s="19">
        <f t="shared" si="5"/>
        <v>440206</v>
      </c>
      <c r="N34" s="15">
        <f t="shared" si="5"/>
        <v>335352.53976499999</v>
      </c>
      <c r="O34" s="24">
        <f t="shared" si="5"/>
        <v>103164.570391</v>
      </c>
    </row>
    <row r="35" spans="1:15" customFormat="1" ht="12" customHeight="1">
      <c r="A35" s="88"/>
      <c r="B35" s="75" t="s">
        <v>9</v>
      </c>
      <c r="C35" s="89"/>
      <c r="D35" s="20">
        <f t="shared" ref="D35:O35" si="6">SUM(D30:D34)</f>
        <v>4123231</v>
      </c>
      <c r="E35" s="18">
        <f t="shared" si="6"/>
        <v>692570.49087600003</v>
      </c>
      <c r="F35" s="18">
        <f t="shared" si="6"/>
        <v>149523.961067</v>
      </c>
      <c r="G35" s="20">
        <f t="shared" si="6"/>
        <v>4420407</v>
      </c>
      <c r="H35" s="18">
        <f t="shared" si="6"/>
        <v>796819.29525199998</v>
      </c>
      <c r="I35" s="18">
        <f t="shared" si="6"/>
        <v>170532.183303</v>
      </c>
      <c r="J35" s="20">
        <f t="shared" si="6"/>
        <v>4584519</v>
      </c>
      <c r="K35" s="18">
        <f t="shared" si="6"/>
        <v>830156.54103700002</v>
      </c>
      <c r="L35" s="18">
        <f t="shared" si="6"/>
        <v>170551.419153</v>
      </c>
      <c r="M35" s="20">
        <f t="shared" si="6"/>
        <v>4522692</v>
      </c>
      <c r="N35" s="18">
        <f t="shared" si="6"/>
        <v>885241.04371600004</v>
      </c>
      <c r="O35" s="25">
        <f t="shared" si="6"/>
        <v>182162.96044699999</v>
      </c>
    </row>
    <row r="36" spans="1:15" customFormat="1" ht="13.35" customHeight="1">
      <c r="A36" s="1"/>
      <c r="B36" s="29"/>
      <c r="C36" s="1"/>
      <c r="D36" s="1"/>
      <c r="E36" s="1"/>
      <c r="F36" s="1"/>
      <c r="G36" s="1"/>
      <c r="H36" s="1"/>
      <c r="I36" s="1"/>
      <c r="J36" s="1"/>
      <c r="K36" s="1"/>
      <c r="L36" s="1"/>
      <c r="M36" s="1"/>
      <c r="N36" s="1"/>
      <c r="O36" s="1"/>
    </row>
    <row r="37" spans="1:15" customFormat="1" ht="13.35" customHeight="1">
      <c r="H37" s="560" t="s">
        <v>506</v>
      </c>
      <c r="I37" s="6"/>
    </row>
    <row r="38" spans="1:15" customFormat="1" ht="13.35" customHeight="1">
      <c r="H38" s="6"/>
      <c r="I38" s="6"/>
    </row>
    <row r="39" spans="1:15" customFormat="1" ht="13.35" customHeight="1">
      <c r="H39" s="6"/>
      <c r="I39" s="6"/>
    </row>
    <row r="40" spans="1:15" ht="13.35" customHeight="1">
      <c r="B40"/>
      <c r="C40"/>
      <c r="D40"/>
      <c r="E40"/>
      <c r="F40"/>
      <c r="G40"/>
      <c r="H40" s="1"/>
      <c r="I40"/>
      <c r="J40"/>
      <c r="K40"/>
      <c r="L40"/>
      <c r="M40"/>
      <c r="N40"/>
      <c r="O40"/>
    </row>
    <row r="41" spans="1:15" ht="13.35" customHeight="1">
      <c r="C41" s="650" t="s">
        <v>368</v>
      </c>
      <c r="D41" s="651"/>
      <c r="E41" s="652">
        <f>E35/D35*1000000</f>
        <v>167967.90935943194</v>
      </c>
      <c r="F41" s="652">
        <f>F35/D35*1000000</f>
        <v>36263.784655043579</v>
      </c>
      <c r="G41" s="653"/>
      <c r="H41" s="652">
        <f>H35/G35*1000000</f>
        <v>180259.26012061787</v>
      </c>
      <c r="I41" s="652">
        <f>I35/G35*1000000</f>
        <v>38578.389569783962</v>
      </c>
      <c r="J41" s="653"/>
      <c r="K41" s="652">
        <f>K35/J35*1000000</f>
        <v>181078.22020957925</v>
      </c>
      <c r="L41" s="652">
        <f>L35/J35*1000000</f>
        <v>37201.595009858174</v>
      </c>
      <c r="M41" s="653"/>
      <c r="N41" s="652">
        <f>N35/M35*1000000</f>
        <v>195733.21458016598</v>
      </c>
      <c r="O41" s="597">
        <f>O35/M35*1000000</f>
        <v>40277.551610191447</v>
      </c>
    </row>
    <row r="42" spans="1:15" ht="13.35" customHeight="1">
      <c r="C42" s="605"/>
      <c r="D42" s="606"/>
      <c r="E42" s="606"/>
      <c r="F42" s="654">
        <f>F41/E41</f>
        <v>0.21589710078157409</v>
      </c>
      <c r="G42" s="655"/>
      <c r="H42" s="655"/>
      <c r="I42" s="654">
        <f>I41/H41</f>
        <v>0.21401613178690401</v>
      </c>
      <c r="J42" s="655"/>
      <c r="K42" s="655"/>
      <c r="L42" s="654">
        <f>L41/K41</f>
        <v>0.20544488987577406</v>
      </c>
      <c r="M42" s="655"/>
      <c r="N42" s="655"/>
      <c r="O42" s="592">
        <f>O41/N41</f>
        <v>0.20577780677941643</v>
      </c>
    </row>
    <row r="43" spans="1:15" ht="13.35" customHeight="1">
      <c r="C43" s="605"/>
      <c r="D43" s="606"/>
      <c r="E43" s="606"/>
      <c r="F43" s="606"/>
      <c r="G43" s="655"/>
      <c r="H43" s="655"/>
      <c r="I43" s="655"/>
      <c r="J43" s="655"/>
      <c r="K43" s="655"/>
      <c r="L43" s="655"/>
      <c r="M43" s="655"/>
      <c r="N43" s="655"/>
      <c r="O43" s="656"/>
    </row>
    <row r="44" spans="1:15" ht="13.35" customHeight="1">
      <c r="C44" s="608"/>
      <c r="D44" s="609"/>
      <c r="E44" s="609"/>
      <c r="F44" s="609"/>
      <c r="G44" s="657"/>
      <c r="H44" s="658">
        <f>H41/E41-1</f>
        <v>7.3176780065076885E-2</v>
      </c>
      <c r="I44" s="658">
        <f>I41/F41-1</f>
        <v>6.3826898840203317E-2</v>
      </c>
      <c r="J44" s="657"/>
      <c r="K44" s="658">
        <f>K41/H41-1</f>
        <v>4.543234496876325E-3</v>
      </c>
      <c r="L44" s="658">
        <f>L41/I41-1</f>
        <v>-3.5688233108728373E-2</v>
      </c>
      <c r="M44" s="657"/>
      <c r="N44" s="658">
        <f>N41/K41-1</f>
        <v>8.0931844556596078E-2</v>
      </c>
      <c r="O44" s="594">
        <f>O41/L41-1</f>
        <v>8.2683460198901715E-2</v>
      </c>
    </row>
    <row r="45" spans="1:15" ht="13.35" customHeight="1"/>
  </sheetData>
  <mergeCells count="1">
    <mergeCell ref="B3:C3"/>
  </mergeCells>
  <phoneticPr fontId="7" type="noConversion"/>
  <hyperlinks>
    <hyperlink ref="H37" location="CONTENTS!A1" display="BACK TO CONTENTS"/>
  </hyperlinks>
  <pageMargins left="0.98425196850393704" right="0.98425196850393704" top="0.98425196850393704" bottom="0.98425196850393704" header="0.51181102362204722" footer="0.51181102362204722"/>
  <pageSetup paperSize="9" scale="86" orientation="landscape" r:id="rId1"/>
  <headerFooter alignWithMargins="0"/>
  <ignoredErrors>
    <ignoredError sqref="D30:O35" formulaRange="1"/>
  </ignoredErrors>
</worksheet>
</file>

<file path=xl/worksheets/sheet19.xml><?xml version="1.0" encoding="utf-8"?>
<worksheet xmlns="http://schemas.openxmlformats.org/spreadsheetml/2006/main" xmlns:r="http://schemas.openxmlformats.org/officeDocument/2006/relationships">
  <sheetPr codeName="Sheet21" enableFormatConditionsCalculation="0">
    <pageSetUpPr fitToPage="1"/>
  </sheetPr>
  <dimension ref="A1:O44"/>
  <sheetViews>
    <sheetView showGridLines="0" zoomScaleNormal="100" zoomScaleSheetLayoutView="90" workbookViewId="0">
      <pane xSplit="3" ySplit="3" topLeftCell="D4" activePane="bottomRight" state="frozen"/>
      <selection pane="topRight"/>
      <selection pane="bottomLeft"/>
      <selection pane="bottomRight"/>
    </sheetView>
  </sheetViews>
  <sheetFormatPr defaultColWidth="9.140625" defaultRowHeight="12.75"/>
  <cols>
    <col min="1" max="1" width="0.85546875" customWidth="1"/>
    <col min="2" max="2" width="2.7109375" style="2" customWidth="1"/>
    <col min="3" max="3" width="15.7109375" style="2" customWidth="1"/>
    <col min="4" max="6" width="9.7109375" style="2" customWidth="1"/>
    <col min="7" max="7" width="9.7109375" style="14" customWidth="1"/>
    <col min="8" max="15" width="9.7109375" style="6" customWidth="1"/>
    <col min="16" max="16384" width="9.140625" style="10"/>
  </cols>
  <sheetData>
    <row r="1" spans="1:15" s="8" customFormat="1" ht="15" customHeight="1">
      <c r="A1" s="455" t="s">
        <v>491</v>
      </c>
      <c r="B1" s="455"/>
      <c r="C1" s="455"/>
      <c r="D1" s="564"/>
      <c r="E1" s="564"/>
      <c r="F1" s="564"/>
      <c r="G1" s="565"/>
      <c r="H1" s="566"/>
      <c r="I1" s="567"/>
      <c r="J1" s="566"/>
      <c r="K1" s="566"/>
      <c r="L1" s="566"/>
      <c r="M1" s="4"/>
      <c r="N1" s="4"/>
      <c r="O1" s="4"/>
    </row>
    <row r="2" spans="1:15" s="8" customFormat="1" ht="15" customHeight="1">
      <c r="A2" s="90"/>
      <c r="B2" s="91" t="s">
        <v>183</v>
      </c>
      <c r="C2" s="92"/>
      <c r="D2" s="84" t="s">
        <v>463</v>
      </c>
      <c r="E2" s="67"/>
      <c r="F2" s="67"/>
      <c r="G2" s="65" t="s">
        <v>464</v>
      </c>
      <c r="H2" s="67"/>
      <c r="I2" s="67"/>
      <c r="J2" s="65" t="s">
        <v>465</v>
      </c>
      <c r="K2" s="67"/>
      <c r="L2" s="67"/>
      <c r="M2" s="65" t="s">
        <v>466</v>
      </c>
      <c r="N2" s="67"/>
      <c r="O2" s="85"/>
    </row>
    <row r="3" spans="1:15" ht="22.5">
      <c r="A3" s="80"/>
      <c r="B3" s="704" t="s">
        <v>211</v>
      </c>
      <c r="C3" s="705"/>
      <c r="D3" s="32" t="s">
        <v>18</v>
      </c>
      <c r="E3" s="33" t="s">
        <v>85</v>
      </c>
      <c r="F3" s="33" t="s">
        <v>86</v>
      </c>
      <c r="G3" s="32" t="s">
        <v>18</v>
      </c>
      <c r="H3" s="33" t="s">
        <v>85</v>
      </c>
      <c r="I3" s="33" t="s">
        <v>86</v>
      </c>
      <c r="J3" s="32" t="s">
        <v>18</v>
      </c>
      <c r="K3" s="33" t="s">
        <v>85</v>
      </c>
      <c r="L3" s="33" t="s">
        <v>86</v>
      </c>
      <c r="M3" s="32" t="s">
        <v>18</v>
      </c>
      <c r="N3" s="33" t="s">
        <v>85</v>
      </c>
      <c r="O3" s="86" t="s">
        <v>86</v>
      </c>
    </row>
    <row r="4" spans="1:15" ht="13.35" customHeight="1">
      <c r="A4" s="49"/>
      <c r="B4" s="16" t="s">
        <v>19</v>
      </c>
      <c r="C4" s="16" t="s">
        <v>44</v>
      </c>
      <c r="D4" s="62">
        <f>A2.1.1!D4/A2.1.1!D$29</f>
        <v>2.0774727392183459E-2</v>
      </c>
      <c r="E4" s="58">
        <f>A2.1.1!E4/A2.1.1!E$29</f>
        <v>-2.6681726009762277E-2</v>
      </c>
      <c r="F4" s="58">
        <f>A2.1.1!F4/A2.1.1!F$29</f>
        <v>3.8755126326565196E-6</v>
      </c>
      <c r="G4" s="62">
        <f>A2.1.1!G4/A2.1.1!G$29</f>
        <v>1.9198458422493677E-2</v>
      </c>
      <c r="H4" s="58">
        <f>A2.1.1!H4/A2.1.1!H$29</f>
        <v>-2.5634880364612672E-2</v>
      </c>
      <c r="I4" s="58">
        <f>A2.1.1!I4/A2.1.1!I$29</f>
        <v>3.9868134379772499E-6</v>
      </c>
      <c r="J4" s="62">
        <f>A2.1.1!J4/A2.1.1!J$29</f>
        <v>1.8495506289754715E-2</v>
      </c>
      <c r="K4" s="58">
        <f>A2.1.1!K4/A2.1.1!K$29</f>
        <v>-2.8641636512673405E-2</v>
      </c>
      <c r="L4" s="58">
        <f>A2.1.1!L4/A2.1.1!L$29</f>
        <v>2.5798964452197006E-6</v>
      </c>
      <c r="M4" s="62">
        <f>A2.1.1!M4/A2.1.1!M$29</f>
        <v>1.6458339413782764E-2</v>
      </c>
      <c r="N4" s="58">
        <f>A2.1.1!N4/A2.1.1!N$29</f>
        <v>-2.5620976839022796E-2</v>
      </c>
      <c r="O4" s="59">
        <f>A2.1.1!O4/A2.1.1!O$29</f>
        <v>1.0154726270701998E-5</v>
      </c>
    </row>
    <row r="5" spans="1:15" s="51" customFormat="1" ht="13.35" customHeight="1">
      <c r="A5" s="49"/>
      <c r="B5" s="16" t="s">
        <v>20</v>
      </c>
      <c r="C5" s="50" t="s">
        <v>137</v>
      </c>
      <c r="D5" s="62">
        <f>A2.1.1!D5/A2.1.1!D$29</f>
        <v>5.0332372840619408E-2</v>
      </c>
      <c r="E5" s="58">
        <f>A2.1.1!E5/A2.1.1!E$29</f>
        <v>0</v>
      </c>
      <c r="F5" s="58">
        <f>A2.1.1!F5/A2.1.1!F$29</f>
        <v>8.5419165656512504E-5</v>
      </c>
      <c r="G5" s="62">
        <f>A2.1.1!G5/A2.1.1!G$29</f>
        <v>4.4618289673326463E-2</v>
      </c>
      <c r="H5" s="58">
        <f>A2.1.1!H5/A2.1.1!H$29</f>
        <v>0</v>
      </c>
      <c r="I5" s="58">
        <f>A2.1.1!I5/A2.1.1!I$29</f>
        <v>3.1552906294757678E-5</v>
      </c>
      <c r="J5" s="62">
        <f>A2.1.1!J5/A2.1.1!J$29</f>
        <v>4.2996877098775248E-2</v>
      </c>
      <c r="K5" s="58">
        <f>A2.1.1!K5/A2.1.1!K$29</f>
        <v>0</v>
      </c>
      <c r="L5" s="58">
        <f>A2.1.1!L5/A2.1.1!L$29</f>
        <v>2.2849290960775046E-5</v>
      </c>
      <c r="M5" s="62">
        <f>A2.1.1!M5/A2.1.1!M$29</f>
        <v>2.9616210876177284E-2</v>
      </c>
      <c r="N5" s="58">
        <f>A2.1.1!N5/A2.1.1!N$29</f>
        <v>0</v>
      </c>
      <c r="O5" s="59">
        <f>A2.1.1!O5/A2.1.1!O$29</f>
        <v>7.1202235449910344E-6</v>
      </c>
    </row>
    <row r="6" spans="1:15" ht="13.35" customHeight="1">
      <c r="A6" s="49"/>
      <c r="B6" s="16" t="s">
        <v>21</v>
      </c>
      <c r="C6" s="16" t="s">
        <v>45</v>
      </c>
      <c r="D6" s="62">
        <f>A2.1.1!D6/A2.1.1!D$29</f>
        <v>3.6785472363784613E-2</v>
      </c>
      <c r="E6" s="58">
        <f>A2.1.1!E6/A2.1.1!E$29</f>
        <v>2.1741573151571008E-3</v>
      </c>
      <c r="F6" s="58">
        <f>A2.1.1!F6/A2.1.1!F$29</f>
        <v>1.9257582393164011E-5</v>
      </c>
      <c r="G6" s="62">
        <f>A2.1.1!G6/A2.1.1!G$29</f>
        <v>3.4268337734511774E-2</v>
      </c>
      <c r="H6" s="58">
        <f>A2.1.1!H6/A2.1.1!H$29</f>
        <v>1.8685084596616552E-3</v>
      </c>
      <c r="I6" s="58">
        <f>A2.1.1!I6/A2.1.1!I$29</f>
        <v>1.2970279023930662E-5</v>
      </c>
      <c r="J6" s="62">
        <f>A2.1.1!J6/A2.1.1!J$29</f>
        <v>3.6570248700027203E-2</v>
      </c>
      <c r="K6" s="58">
        <f>A2.1.1!K6/A2.1.1!K$29</f>
        <v>1.9619673922769312E-3</v>
      </c>
      <c r="L6" s="58">
        <f>A2.1.1!L6/A2.1.1!L$29</f>
        <v>1.3546190418547221E-5</v>
      </c>
      <c r="M6" s="62">
        <f>A2.1.1!M6/A2.1.1!M$29</f>
        <v>3.5889023616907809E-2</v>
      </c>
      <c r="N6" s="58">
        <f>A2.1.1!N6/A2.1.1!N$29</f>
        <v>1.8216206494796692E-3</v>
      </c>
      <c r="O6" s="59">
        <f>A2.1.1!O6/A2.1.1!O$29</f>
        <v>1.2456368706525207E-5</v>
      </c>
    </row>
    <row r="7" spans="1:15" ht="13.35" customHeight="1">
      <c r="A7" s="49"/>
      <c r="B7" s="16" t="s">
        <v>22</v>
      </c>
      <c r="C7" s="16" t="s">
        <v>46</v>
      </c>
      <c r="D7" s="62">
        <f>A2.1.1!D7/A2.1.1!D$29</f>
        <v>2.0587980639454835E-2</v>
      </c>
      <c r="E7" s="58">
        <f>A2.1.1!E7/A2.1.1!E$29</f>
        <v>3.0920368109986543E-3</v>
      </c>
      <c r="F7" s="58">
        <f>A2.1.1!F7/A2.1.1!F$29</f>
        <v>1.6997449651973648E-5</v>
      </c>
      <c r="G7" s="62">
        <f>A2.1.1!G7/A2.1.1!G$29</f>
        <v>1.9061140750161694E-2</v>
      </c>
      <c r="H7" s="58">
        <f>A2.1.1!H7/A2.1.1!H$29</f>
        <v>2.6608833616779547E-3</v>
      </c>
      <c r="I7" s="58">
        <f>A2.1.1!I7/A2.1.1!I$29</f>
        <v>1.6245936375994678E-5</v>
      </c>
      <c r="J7" s="62">
        <f>A2.1.1!J7/A2.1.1!J$29</f>
        <v>1.9284029578675539E-2</v>
      </c>
      <c r="K7" s="58">
        <f>A2.1.1!K7/A2.1.1!K$29</f>
        <v>2.6850716037430493E-3</v>
      </c>
      <c r="L7" s="58">
        <f>A2.1.1!L7/A2.1.1!L$29</f>
        <v>1.1067272318072632E-5</v>
      </c>
      <c r="M7" s="62">
        <f>A2.1.1!M7/A2.1.1!M$29</f>
        <v>1.9420513269530624E-2</v>
      </c>
      <c r="N7" s="58">
        <f>A2.1.1!N7/A2.1.1!N$29</f>
        <v>2.4933925868761723E-3</v>
      </c>
      <c r="O7" s="59">
        <f>A2.1.1!O7/A2.1.1!O$29</f>
        <v>1.3667613843618793E-5</v>
      </c>
    </row>
    <row r="8" spans="1:15" ht="13.35" customHeight="1">
      <c r="A8" s="49"/>
      <c r="B8" s="16" t="s">
        <v>23</v>
      </c>
      <c r="C8" s="16" t="s">
        <v>47</v>
      </c>
      <c r="D8" s="62">
        <f>A2.1.1!D8/A2.1.1!D$29</f>
        <v>2.7115628496196309E-2</v>
      </c>
      <c r="E8" s="58">
        <f>A2.1.1!E8/A2.1.1!E$29</f>
        <v>5.7273708817463798E-3</v>
      </c>
      <c r="F8" s="58">
        <f>A2.1.1!F8/A2.1.1!F$29</f>
        <v>2.5462300308470468E-5</v>
      </c>
      <c r="G8" s="62">
        <f>A2.1.1!G8/A2.1.1!G$29</f>
        <v>2.2813057711654153E-2</v>
      </c>
      <c r="H8" s="58">
        <f>A2.1.1!H8/A2.1.1!H$29</f>
        <v>4.4670020620852513E-3</v>
      </c>
      <c r="I8" s="58">
        <f>A2.1.1!I8/A2.1.1!I$29</f>
        <v>2.237485573746756E-5</v>
      </c>
      <c r="J8" s="62">
        <f>A2.1.1!J8/A2.1.1!J$29</f>
        <v>2.1901970522970896E-2</v>
      </c>
      <c r="K8" s="58">
        <f>A2.1.1!K8/A2.1.1!K$29</f>
        <v>4.2484877485809095E-3</v>
      </c>
      <c r="L8" s="58">
        <f>A2.1.1!L8/A2.1.1!L$29</f>
        <v>1.9221704611317705E-5</v>
      </c>
      <c r="M8" s="62">
        <f>A2.1.1!M8/A2.1.1!M$29</f>
        <v>2.1623847036234174E-2</v>
      </c>
      <c r="N8" s="58">
        <f>A2.1.1!N8/A2.1.1!N$29</f>
        <v>3.8847916173928342E-3</v>
      </c>
      <c r="O8" s="59">
        <f>A2.1.1!O8/A2.1.1!O$29</f>
        <v>1.5314919087580872E-5</v>
      </c>
    </row>
    <row r="9" spans="1:15" ht="13.35" customHeight="1">
      <c r="A9" s="49"/>
      <c r="B9" s="16" t="s">
        <v>24</v>
      </c>
      <c r="C9" s="16" t="s">
        <v>48</v>
      </c>
      <c r="D9" s="62">
        <f>A2.1.1!D9/A2.1.1!D$29</f>
        <v>3.8682285809356787E-2</v>
      </c>
      <c r="E9" s="58">
        <f>A2.1.1!E9/A2.1.1!E$29</f>
        <v>1.0336217277963246E-2</v>
      </c>
      <c r="F9" s="58">
        <f>A2.1.1!F9/A2.1.1!F$29</f>
        <v>4.2286601791981677E-4</v>
      </c>
      <c r="G9" s="62">
        <f>A2.1.1!G9/A2.1.1!G$29</f>
        <v>3.4689113468510932E-2</v>
      </c>
      <c r="H9" s="58">
        <f>A2.1.1!H9/A2.1.1!H$29</f>
        <v>8.7082920259925582E-3</v>
      </c>
      <c r="I9" s="58">
        <f>A2.1.1!I9/A2.1.1!I$29</f>
        <v>1.3764956587867158E-4</v>
      </c>
      <c r="J9" s="62">
        <f>A2.1.1!J9/A2.1.1!J$29</f>
        <v>2.6524920062497286E-2</v>
      </c>
      <c r="K9" s="58">
        <f>A2.1.1!K9/A2.1.1!K$29</f>
        <v>6.6441001574354501E-3</v>
      </c>
      <c r="L9" s="58">
        <f>A2.1.1!L9/A2.1.1!L$29</f>
        <v>3.3640763756137154E-5</v>
      </c>
      <c r="M9" s="62">
        <f>A2.1.1!M9/A2.1.1!M$29</f>
        <v>2.4710725382139663E-2</v>
      </c>
      <c r="N9" s="58">
        <f>A2.1.1!N9/A2.1.1!N$29</f>
        <v>5.7102019815765542E-3</v>
      </c>
      <c r="O9" s="59">
        <f>A2.1.1!O9/A2.1.1!O$29</f>
        <v>2.1817256319548639E-5</v>
      </c>
    </row>
    <row r="10" spans="1:15" s="51" customFormat="1" ht="13.35" customHeight="1">
      <c r="A10" s="49"/>
      <c r="B10" s="16" t="s">
        <v>25</v>
      </c>
      <c r="C10" s="16" t="s">
        <v>49</v>
      </c>
      <c r="D10" s="62">
        <f>A2.1.1!D10/A2.1.1!D$29</f>
        <v>3.8117437514415271E-2</v>
      </c>
      <c r="E10" s="58">
        <f>A2.1.1!E10/A2.1.1!E$29</f>
        <v>1.2519951654354376E-2</v>
      </c>
      <c r="F10" s="58">
        <f>A2.1.1!F10/A2.1.1!F$29</f>
        <v>2.063412511268019E-3</v>
      </c>
      <c r="G10" s="62">
        <f>A2.1.1!G10/A2.1.1!G$29</f>
        <v>3.5929496989756823E-2</v>
      </c>
      <c r="H10" s="58">
        <f>A2.1.1!H10/A2.1.1!H$29</f>
        <v>1.1028917619547246E-2</v>
      </c>
      <c r="I10" s="58">
        <f>A2.1.1!I10/A2.1.1!I$29</f>
        <v>1.4171848698529411E-3</v>
      </c>
      <c r="J10" s="62">
        <f>A2.1.1!J10/A2.1.1!J$29</f>
        <v>3.9223525957684982E-2</v>
      </c>
      <c r="K10" s="58">
        <f>A2.1.1!K10/A2.1.1!K$29</f>
        <v>1.19428936952243E-2</v>
      </c>
      <c r="L10" s="58">
        <f>A2.1.1!L10/A2.1.1!L$29</f>
        <v>3.1170014453125051E-4</v>
      </c>
      <c r="M10" s="62">
        <f>A2.1.1!M10/A2.1.1!M$29</f>
        <v>3.6228865463312561E-2</v>
      </c>
      <c r="N10" s="58">
        <f>A2.1.1!N10/A2.1.1!N$29</f>
        <v>1.0271864482050846E-2</v>
      </c>
      <c r="O10" s="59">
        <f>A2.1.1!O10/A2.1.1!O$29</f>
        <v>9.7284541031359008E-5</v>
      </c>
    </row>
    <row r="11" spans="1:15" s="1" customFormat="1" ht="13.35" customHeight="1">
      <c r="A11" s="26"/>
      <c r="B11" s="16" t="s">
        <v>26</v>
      </c>
      <c r="C11" s="16" t="s">
        <v>50</v>
      </c>
      <c r="D11" s="62">
        <f>A2.1.1!D11/A2.1.1!D$29</f>
        <v>4.207865142651479E-2</v>
      </c>
      <c r="E11" s="58">
        <f>A2.1.1!E11/A2.1.1!E$29</f>
        <v>1.6306193109261374E-2</v>
      </c>
      <c r="F11" s="58">
        <f>A2.1.1!F11/A2.1.1!F$29</f>
        <v>4.085044140358895E-3</v>
      </c>
      <c r="G11" s="62">
        <f>A2.1.1!G11/A2.1.1!G$29</f>
        <v>4.0881755910711387E-2</v>
      </c>
      <c r="H11" s="58">
        <f>A2.1.1!H11/A2.1.1!H$29</f>
        <v>1.4750576861072192E-2</v>
      </c>
      <c r="I11" s="58">
        <f>A2.1.1!I11/A2.1.1!I$29</f>
        <v>3.2652527822893602E-3</v>
      </c>
      <c r="J11" s="62">
        <f>A2.1.1!J11/A2.1.1!J$29</f>
        <v>4.3228744389542287E-2</v>
      </c>
      <c r="K11" s="58">
        <f>A2.1.1!K11/A2.1.1!K$29</f>
        <v>1.5561831459958601E-2</v>
      </c>
      <c r="L11" s="58">
        <f>A2.1.1!L11/A2.1.1!L$29</f>
        <v>2.0854340337146567E-3</v>
      </c>
      <c r="M11" s="62">
        <f>A2.1.1!M11/A2.1.1!M$29</f>
        <v>3.9087340017847777E-2</v>
      </c>
      <c r="N11" s="58">
        <f>A2.1.1!N11/A2.1.1!N$29</f>
        <v>1.3006891725971484E-2</v>
      </c>
      <c r="O11" s="59">
        <f>A2.1.1!O11/A2.1.1!O$29</f>
        <v>1.2878383861589437E-3</v>
      </c>
    </row>
    <row r="12" spans="1:15" s="1" customFormat="1" ht="13.35" customHeight="1">
      <c r="A12" s="26"/>
      <c r="B12" s="16" t="s">
        <v>27</v>
      </c>
      <c r="C12" s="16" t="s">
        <v>51</v>
      </c>
      <c r="D12" s="62">
        <f>A2.1.1!D12/A2.1.1!D$29</f>
        <v>4.3338343158556968E-2</v>
      </c>
      <c r="E12" s="58">
        <f>A2.1.1!E12/A2.1.1!E$29</f>
        <v>1.935298031258419E-2</v>
      </c>
      <c r="F12" s="58">
        <f>A2.1.1!F12/A2.1.1!F$29</f>
        <v>6.3992373675229959E-3</v>
      </c>
      <c r="G12" s="62">
        <f>A2.1.1!G12/A2.1.1!G$29</f>
        <v>4.1617887221697007E-2</v>
      </c>
      <c r="H12" s="58">
        <f>A2.1.1!H12/A2.1.1!H$29</f>
        <v>1.7313974002897206E-2</v>
      </c>
      <c r="I12" s="58">
        <f>A2.1.1!I12/A2.1.1!I$29</f>
        <v>5.0766136352209008E-3</v>
      </c>
      <c r="J12" s="62">
        <f>A2.1.1!J12/A2.1.1!J$29</f>
        <v>4.3348713354661637E-2</v>
      </c>
      <c r="K12" s="58">
        <f>A2.1.1!K12/A2.1.1!K$29</f>
        <v>1.7956822900387887E-2</v>
      </c>
      <c r="L12" s="58">
        <f>A2.1.1!L12/A2.1.1!L$29</f>
        <v>3.9389518148620047E-3</v>
      </c>
      <c r="M12" s="62">
        <f>A2.1.1!M12/A2.1.1!M$29</f>
        <v>4.6309587298891897E-2</v>
      </c>
      <c r="N12" s="58">
        <f>A2.1.1!N12/A2.1.1!N$29</f>
        <v>1.7735282730560811E-2</v>
      </c>
      <c r="O12" s="59">
        <f>A2.1.1!O12/A2.1.1!O$29</f>
        <v>3.4004606231694636E-3</v>
      </c>
    </row>
    <row r="13" spans="1:15" s="1" customFormat="1" ht="13.35" customHeight="1">
      <c r="A13" s="26"/>
      <c r="B13" s="27" t="s">
        <v>28</v>
      </c>
      <c r="C13" s="27" t="s">
        <v>52</v>
      </c>
      <c r="D13" s="62">
        <f>A2.1.1!D13/A2.1.1!D$29</f>
        <v>4.6118201963460212E-2</v>
      </c>
      <c r="E13" s="58">
        <f>A2.1.1!E13/A2.1.1!E$29</f>
        <v>2.3367088464208787E-2</v>
      </c>
      <c r="F13" s="58">
        <f>A2.1.1!F13/A2.1.1!F$29</f>
        <v>9.2289079900823596E-3</v>
      </c>
      <c r="G13" s="62">
        <f>A2.1.1!G13/A2.1.1!G$29</f>
        <v>4.1005726395782108E-2</v>
      </c>
      <c r="H13" s="58">
        <f>A2.1.1!H13/A2.1.1!H$29</f>
        <v>1.9336999844019941E-2</v>
      </c>
      <c r="I13" s="58">
        <f>A2.1.1!I13/A2.1.1!I$29</f>
        <v>7.0299628655426357E-3</v>
      </c>
      <c r="J13" s="62">
        <f>A2.1.1!J13/A2.1.1!J$29</f>
        <v>4.1650825310136134E-2</v>
      </c>
      <c r="K13" s="58">
        <f>A2.1.1!K13/A2.1.1!K$29</f>
        <v>1.9550899439671605E-2</v>
      </c>
      <c r="L13" s="58">
        <f>A2.1.1!L13/A2.1.1!L$29</f>
        <v>5.6338511973214392E-3</v>
      </c>
      <c r="M13" s="62">
        <f>A2.1.1!M13/A2.1.1!M$29</f>
        <v>4.2267083409615339E-2</v>
      </c>
      <c r="N13" s="58">
        <f>A2.1.1!N13/A2.1.1!N$29</f>
        <v>1.8360810987447247E-2</v>
      </c>
      <c r="O13" s="59">
        <f>A2.1.1!O13/A2.1.1!O$29</f>
        <v>4.7656863550621818E-3</v>
      </c>
    </row>
    <row r="14" spans="1:15" s="1" customFormat="1" ht="13.35" customHeight="1">
      <c r="A14" s="26"/>
      <c r="B14" s="27" t="s">
        <v>29</v>
      </c>
      <c r="C14" s="27" t="s">
        <v>53</v>
      </c>
      <c r="D14" s="62">
        <f>A2.1.1!D14/A2.1.1!D$29</f>
        <v>4.768638962988006E-2</v>
      </c>
      <c r="E14" s="58">
        <f>A2.1.1!E14/A2.1.1!E$29</f>
        <v>2.6972960641698265E-2</v>
      </c>
      <c r="F14" s="58">
        <f>A2.1.1!F14/A2.1.1!F$29</f>
        <v>1.1946378388140699E-2</v>
      </c>
      <c r="G14" s="62">
        <f>A2.1.1!G14/A2.1.1!G$29</f>
        <v>4.2467808959672719E-2</v>
      </c>
      <c r="H14" s="58">
        <f>A2.1.1!H14/A2.1.1!H$29</f>
        <v>2.2415881420581311E-2</v>
      </c>
      <c r="I14" s="58">
        <f>A2.1.1!I14/A2.1.1!I$29</f>
        <v>9.3608131502290887E-3</v>
      </c>
      <c r="J14" s="62">
        <f>A2.1.1!J14/A2.1.1!J$29</f>
        <v>4.0566742116239458E-2</v>
      </c>
      <c r="K14" s="58">
        <f>A2.1.1!K14/A2.1.1!K$29</f>
        <v>2.1273084237750883E-2</v>
      </c>
      <c r="L14" s="58">
        <f>A2.1.1!L14/A2.1.1!L$29</f>
        <v>7.5459925129409957E-3</v>
      </c>
      <c r="M14" s="62">
        <f>A2.1.1!M14/A2.1.1!M$29</f>
        <v>3.7966326249941409E-2</v>
      </c>
      <c r="N14" s="58">
        <f>A2.1.1!N14/A2.1.1!N$29</f>
        <v>1.8429725679590205E-2</v>
      </c>
      <c r="O14" s="59">
        <f>A2.1.1!O14/A2.1.1!O$29</f>
        <v>6.0041138896522158E-3</v>
      </c>
    </row>
    <row r="15" spans="1:15" customFormat="1" ht="13.35" customHeight="1">
      <c r="A15" s="26"/>
      <c r="B15" s="27" t="s">
        <v>30</v>
      </c>
      <c r="C15" s="27" t="s">
        <v>54</v>
      </c>
      <c r="D15" s="62">
        <f>A2.1.1!D15/A2.1.1!D$29</f>
        <v>4.9365170178435308E-2</v>
      </c>
      <c r="E15" s="58">
        <f>A2.1.1!E15/A2.1.1!E$29</f>
        <v>3.0900389950099166E-2</v>
      </c>
      <c r="F15" s="58">
        <f>A2.1.1!F15/A2.1.1!F$29</f>
        <v>1.4921137234989942E-2</v>
      </c>
      <c r="G15" s="62">
        <f>A2.1.1!G15/A2.1.1!G$29</f>
        <v>4.517412084452857E-2</v>
      </c>
      <c r="H15" s="58">
        <f>A2.1.1!H15/A2.1.1!H$29</f>
        <v>2.6294282281874016E-2</v>
      </c>
      <c r="I15" s="58">
        <f>A2.1.1!I15/A2.1.1!I$29</f>
        <v>1.2091802919899194E-2</v>
      </c>
      <c r="J15" s="62">
        <f>A2.1.1!J15/A2.1.1!J$29</f>
        <v>4.0183932054813166E-2</v>
      </c>
      <c r="K15" s="58">
        <f>A2.1.1!K15/A2.1.1!K$29</f>
        <v>2.3316800237242578E-2</v>
      </c>
      <c r="L15" s="58">
        <f>A2.1.1!L15/A2.1.1!L$29</f>
        <v>9.48785995470584E-3</v>
      </c>
      <c r="M15" s="62">
        <f>A2.1.1!M15/A2.1.1!M$29</f>
        <v>3.7511066417965228E-2</v>
      </c>
      <c r="N15" s="58">
        <f>A2.1.1!N15/A2.1.1!N$29</f>
        <v>2.0104782678501472E-2</v>
      </c>
      <c r="O15" s="59">
        <f>A2.1.1!O15/A2.1.1!O$29</f>
        <v>7.6505449053979272E-3</v>
      </c>
    </row>
    <row r="16" spans="1:15" customFormat="1" ht="13.35" customHeight="1">
      <c r="A16" s="26"/>
      <c r="B16" s="27" t="s">
        <v>31</v>
      </c>
      <c r="C16" s="27" t="s">
        <v>55</v>
      </c>
      <c r="D16" s="62">
        <f>A2.1.1!D16/A2.1.1!D$29</f>
        <v>5.4335786668270589E-2</v>
      </c>
      <c r="E16" s="58">
        <f>A2.1.1!E16/A2.1.1!E$29</f>
        <v>3.7196408195815475E-2</v>
      </c>
      <c r="F16" s="58">
        <f>A2.1.1!F16/A2.1.1!F$29</f>
        <v>1.9441411886469657E-2</v>
      </c>
      <c r="G16" s="62">
        <f>A2.1.1!G16/A2.1.1!G$29</f>
        <v>4.2478215241266243E-2</v>
      </c>
      <c r="H16" s="58">
        <f>A2.1.1!H16/A2.1.1!H$29</f>
        <v>2.7116893627891565E-2</v>
      </c>
      <c r="I16" s="58">
        <f>A2.1.1!I16/A2.1.1!I$29</f>
        <v>1.3398945552348433E-2</v>
      </c>
      <c r="J16" s="62">
        <f>A2.1.1!J16/A2.1.1!J$29</f>
        <v>4.2717022221960471E-2</v>
      </c>
      <c r="K16" s="58">
        <f>A2.1.1!K16/A2.1.1!K$29</f>
        <v>2.7141418461696813E-2</v>
      </c>
      <c r="L16" s="58">
        <f>A2.1.1!L16/A2.1.1!L$29</f>
        <v>1.2217423292917506E-2</v>
      </c>
      <c r="M16" s="62">
        <f>A2.1.1!M16/A2.1.1!M$29</f>
        <v>3.7241536677713183E-2</v>
      </c>
      <c r="N16" s="58">
        <f>A2.1.1!N16/A2.1.1!N$29</f>
        <v>2.191052373439498E-2</v>
      </c>
      <c r="O16" s="59">
        <f>A2.1.1!O16/A2.1.1!O$29</f>
        <v>9.3231874242301234E-3</v>
      </c>
    </row>
    <row r="17" spans="1:15" customFormat="1" ht="13.35" customHeight="1">
      <c r="A17" s="26"/>
      <c r="B17" s="27" t="s">
        <v>32</v>
      </c>
      <c r="C17" s="27" t="s">
        <v>56</v>
      </c>
      <c r="D17" s="62">
        <f>A2.1.1!D17/A2.1.1!D$29</f>
        <v>4.5491751492943273E-2</v>
      </c>
      <c r="E17" s="58">
        <f>A2.1.1!E17/A2.1.1!E$29</f>
        <v>3.3817986992739815E-2</v>
      </c>
      <c r="F17" s="58">
        <f>A2.1.1!F17/A2.1.1!F$29</f>
        <v>1.930319329693711E-2</v>
      </c>
      <c r="G17" s="62">
        <f>A2.1.1!G17/A2.1.1!G$29</f>
        <v>4.5900298320946463E-2</v>
      </c>
      <c r="H17" s="58">
        <f>A2.1.1!H17/A2.1.1!H$29</f>
        <v>3.1861901126491676E-2</v>
      </c>
      <c r="I17" s="58">
        <f>A2.1.1!I17/A2.1.1!I$29</f>
        <v>1.6968132606727117E-2</v>
      </c>
      <c r="J17" s="62">
        <f>A2.1.1!J17/A2.1.1!J$29</f>
        <v>3.8414280756607182E-2</v>
      </c>
      <c r="K17" s="58">
        <f>A2.1.1!K17/A2.1.1!K$29</f>
        <v>2.650881981187591E-2</v>
      </c>
      <c r="L17" s="58">
        <f>A2.1.1!L17/A2.1.1!L$29</f>
        <v>1.2830856851662303E-2</v>
      </c>
      <c r="M17" s="62">
        <f>A2.1.1!M17/A2.1.1!M$29</f>
        <v>3.8104297175222193E-2</v>
      </c>
      <c r="N17" s="58">
        <f>A2.1.1!N17/A2.1.1!N$29</f>
        <v>2.4331571031302259E-2</v>
      </c>
      <c r="O17" s="59">
        <f>A2.1.1!O17/A2.1.1!O$29</f>
        <v>1.1262916204070663E-2</v>
      </c>
    </row>
    <row r="18" spans="1:15" customFormat="1" ht="13.35" customHeight="1">
      <c r="A18" s="26"/>
      <c r="B18" s="27" t="s">
        <v>33</v>
      </c>
      <c r="C18" s="27" t="s">
        <v>57</v>
      </c>
      <c r="D18" s="62">
        <f>A2.1.1!D18/A2.1.1!D$29</f>
        <v>4.3242301971439391E-2</v>
      </c>
      <c r="E18" s="58">
        <f>A2.1.1!E18/A2.1.1!E$29</f>
        <v>3.4760255522221298E-2</v>
      </c>
      <c r="F18" s="58">
        <f>A2.1.1!F18/A2.1.1!F$29</f>
        <v>2.138617955397213E-2</v>
      </c>
      <c r="G18" s="62">
        <f>A2.1.1!G18/A2.1.1!G$29</f>
        <v>4.6605210787151498E-2</v>
      </c>
      <c r="H18" s="58">
        <f>A2.1.1!H18/A2.1.1!H$29</f>
        <v>3.4867132871341279E-2</v>
      </c>
      <c r="I18" s="58">
        <f>A2.1.1!I18/A2.1.1!I$29</f>
        <v>2.0181951138717718E-2</v>
      </c>
      <c r="J18" s="62">
        <f>A2.1.1!J18/A2.1.1!J$29</f>
        <v>3.5998760175276839E-2</v>
      </c>
      <c r="K18" s="58">
        <f>A2.1.1!K18/A2.1.1!K$29</f>
        <v>2.6830725399304253E-2</v>
      </c>
      <c r="L18" s="58">
        <f>A2.1.1!L18/A2.1.1!L$29</f>
        <v>1.400271914980422E-2</v>
      </c>
      <c r="M18" s="62">
        <f>A2.1.1!M18/A2.1.1!M$29</f>
        <v>3.5183470375608157E-2</v>
      </c>
      <c r="N18" s="58">
        <f>A2.1.1!N18/A2.1.1!N$29</f>
        <v>2.4256424480572122E-2</v>
      </c>
      <c r="O18" s="59">
        <f>A2.1.1!O18/A2.1.1!O$29</f>
        <v>1.1976100973802152E-2</v>
      </c>
    </row>
    <row r="19" spans="1:15" customFormat="1" ht="13.35" customHeight="1">
      <c r="A19" s="26"/>
      <c r="B19" s="27" t="s">
        <v>34</v>
      </c>
      <c r="C19" s="27" t="s">
        <v>58</v>
      </c>
      <c r="D19" s="62">
        <f>A2.1.1!D19/A2.1.1!D$29</f>
        <v>4.0230343631001995E-2</v>
      </c>
      <c r="E19" s="58">
        <f>A2.1.1!E19/A2.1.1!E$29</f>
        <v>3.4696284774718096E-2</v>
      </c>
      <c r="F19" s="58">
        <f>A2.1.1!F19/A2.1.1!F$29</f>
        <v>2.2629279727841334E-2</v>
      </c>
      <c r="G19" s="62">
        <f>A2.1.1!G19/A2.1.1!G$29</f>
        <v>3.8046949070526762E-2</v>
      </c>
      <c r="H19" s="58">
        <f>A2.1.1!H19/A2.1.1!H$29</f>
        <v>3.0589914164028051E-2</v>
      </c>
      <c r="I19" s="58">
        <f>A2.1.1!I19/A2.1.1!I$29</f>
        <v>1.8916969984886418E-2</v>
      </c>
      <c r="J19" s="62">
        <f>A2.1.1!J19/A2.1.1!J$29</f>
        <v>3.8132680876663397E-2</v>
      </c>
      <c r="K19" s="58">
        <f>A2.1.1!K19/A2.1.1!K$29</f>
        <v>3.0563401527024955E-2</v>
      </c>
      <c r="L19" s="58">
        <f>A2.1.1!L19/A2.1.1!L$29</f>
        <v>1.7471391946184137E-2</v>
      </c>
      <c r="M19" s="62">
        <f>A2.1.1!M19/A2.1.1!M$29</f>
        <v>3.3432964261108207E-2</v>
      </c>
      <c r="N19" s="58">
        <f>A2.1.1!N19/A2.1.1!N$29</f>
        <v>2.4770008980779572E-2</v>
      </c>
      <c r="O19" s="59">
        <f>A2.1.1!O19/A2.1.1!O$29</f>
        <v>1.3190890722810343E-2</v>
      </c>
    </row>
    <row r="20" spans="1:15" customFormat="1" ht="13.35" customHeight="1">
      <c r="A20" s="26"/>
      <c r="B20" s="27" t="s">
        <v>35</v>
      </c>
      <c r="C20" s="87" t="s">
        <v>59</v>
      </c>
      <c r="D20" s="62">
        <f>A2.1.1!D20/A2.1.1!D$29</f>
        <v>0.12473712969270943</v>
      </c>
      <c r="E20" s="58">
        <f>A2.1.1!E20/A2.1.1!E$29</f>
        <v>0.12760482899757705</v>
      </c>
      <c r="F20" s="58">
        <f>A2.1.1!F20/A2.1.1!F$29</f>
        <v>9.3546859006312447E-2</v>
      </c>
      <c r="G20" s="62">
        <f>A2.1.1!G20/A2.1.1!G$29</f>
        <v>0.14151479716686721</v>
      </c>
      <c r="H20" s="58">
        <f>A2.1.1!H20/A2.1.1!H$29</f>
        <v>0.13528142990050096</v>
      </c>
      <c r="I20" s="58">
        <f>A2.1.1!I20/A2.1.1!I$29</f>
        <v>9.5462677505716353E-2</v>
      </c>
      <c r="J20" s="62">
        <f>A2.1.1!J20/A2.1.1!J$29</f>
        <v>0.1526520012241197</v>
      </c>
      <c r="K20" s="58">
        <f>A2.1.1!K20/A2.1.1!K$29</f>
        <v>0.14571066268525457</v>
      </c>
      <c r="L20" s="58">
        <f>A2.1.1!L20/A2.1.1!L$29</f>
        <v>9.8473211090278845E-2</v>
      </c>
      <c r="M20" s="62">
        <f>A2.1.1!M20/A2.1.1!M$29</f>
        <v>0.15409671938747985</v>
      </c>
      <c r="N20" s="58">
        <f>A2.1.1!N20/A2.1.1!N$29</f>
        <v>0.13661225728119075</v>
      </c>
      <c r="O20" s="59">
        <f>A2.1.1!O20/A2.1.1!O$29</f>
        <v>8.8332486497339394E-2</v>
      </c>
    </row>
    <row r="21" spans="1:15" customFormat="1" ht="13.35" customHeight="1">
      <c r="A21" s="26"/>
      <c r="B21" s="27" t="s">
        <v>36</v>
      </c>
      <c r="C21" s="27" t="s">
        <v>60</v>
      </c>
      <c r="D21" s="62">
        <f>A2.1.1!D21/A2.1.1!D$29</f>
        <v>0.11058439364663294</v>
      </c>
      <c r="E21" s="58">
        <f>A2.1.1!E21/A2.1.1!E$29</f>
        <v>0.15966048604256497</v>
      </c>
      <c r="F21" s="58">
        <f>A2.1.1!F21/A2.1.1!F$29</f>
        <v>0.14597413033500187</v>
      </c>
      <c r="G21" s="62">
        <f>A2.1.1!G21/A2.1.1!G$29</f>
        <v>0.12480728584494595</v>
      </c>
      <c r="H21" s="58">
        <f>A2.1.1!H21/A2.1.1!H$29</f>
        <v>0.16792266845355888</v>
      </c>
      <c r="I21" s="58">
        <f>A2.1.1!I21/A2.1.1!I$29</f>
        <v>0.14816885303758079</v>
      </c>
      <c r="J21" s="62">
        <f>A2.1.1!J21/A2.1.1!J$29</f>
        <v>0.1351773217648351</v>
      </c>
      <c r="K21" s="58">
        <f>A2.1.1!K21/A2.1.1!K$29</f>
        <v>0.18036552932530162</v>
      </c>
      <c r="L21" s="58">
        <f>A2.1.1!L21/A2.1.1!L$29</f>
        <v>0.15545235632554766</v>
      </c>
      <c r="M21" s="62">
        <f>A2.1.1!M21/A2.1.1!M$29</f>
        <v>0.15139147215861704</v>
      </c>
      <c r="N21" s="58">
        <f>A2.1.1!N21/A2.1.1!N$29</f>
        <v>0.18659626564716009</v>
      </c>
      <c r="O21" s="59">
        <f>A2.1.1!O21/A2.1.1!O$29</f>
        <v>0.15479784850776118</v>
      </c>
    </row>
    <row r="22" spans="1:15" customFormat="1" ht="13.35" customHeight="1">
      <c r="A22" s="26"/>
      <c r="B22" s="27" t="s">
        <v>37</v>
      </c>
      <c r="C22" s="27" t="s">
        <v>61</v>
      </c>
      <c r="D22" s="62">
        <f>A2.1.1!D22/A2.1.1!D$29</f>
        <v>4.9117791363132456E-2</v>
      </c>
      <c r="E22" s="58">
        <f>A2.1.1!E22/A2.1.1!E$29</f>
        <v>0.10060388398280007</v>
      </c>
      <c r="F22" s="58">
        <f>A2.1.1!F22/A2.1.1!F$29</f>
        <v>0.11079912311563535</v>
      </c>
      <c r="G22" s="62">
        <f>A2.1.1!G22/A2.1.1!G$29</f>
        <v>5.6270836599435298E-2</v>
      </c>
      <c r="H22" s="58">
        <f>A2.1.1!H22/A2.1.1!H$29</f>
        <v>0.1074178349282201</v>
      </c>
      <c r="I22" s="58">
        <f>A2.1.1!I22/A2.1.1!I$29</f>
        <v>0.1153614564357361</v>
      </c>
      <c r="J22" s="62">
        <f>A2.1.1!J22/A2.1.1!J$29</f>
        <v>5.8844777391041457E-2</v>
      </c>
      <c r="K22" s="58">
        <f>A2.1.1!K22/A2.1.1!K$29</f>
        <v>0.11170216177561505</v>
      </c>
      <c r="L22" s="58">
        <f>A2.1.1!L22/A2.1.1!L$29</f>
        <v>0.12012306745815562</v>
      </c>
      <c r="M22" s="62">
        <f>A2.1.1!M22/A2.1.1!M$29</f>
        <v>6.6127872514865044E-2</v>
      </c>
      <c r="N22" s="58">
        <f>A2.1.1!N22/A2.1.1!N$29</f>
        <v>0.11649831640667301</v>
      </c>
      <c r="O22" s="59">
        <f>A2.1.1!O22/A2.1.1!O$29</f>
        <v>0.12149889665654308</v>
      </c>
    </row>
    <row r="23" spans="1:15" customFormat="1" ht="13.35" customHeight="1">
      <c r="A23" s="26"/>
      <c r="B23" s="27" t="s">
        <v>38</v>
      </c>
      <c r="C23" s="27" t="s">
        <v>62</v>
      </c>
      <c r="D23" s="62">
        <f>A2.1.1!D23/A2.1.1!D$29</f>
        <v>2.5432724967386012E-2</v>
      </c>
      <c r="E23" s="58">
        <f>A2.1.1!E23/A2.1.1!E$29</f>
        <v>6.7370111510214326E-2</v>
      </c>
      <c r="F23" s="58">
        <f>A2.1.1!F23/A2.1.1!F$29</f>
        <v>8.303110270357883E-2</v>
      </c>
      <c r="G23" s="62">
        <f>A2.1.1!G23/A2.1.1!G$29</f>
        <v>2.9517191516527777E-2</v>
      </c>
      <c r="H23" s="58">
        <f>A2.1.1!H23/A2.1.1!H$29</f>
        <v>7.2941605324226902E-2</v>
      </c>
      <c r="I23" s="58">
        <f>A2.1.1!I23/A2.1.1!I$29</f>
        <v>8.8349709715673061E-2</v>
      </c>
      <c r="J23" s="62">
        <f>A2.1.1!J23/A2.1.1!J$29</f>
        <v>2.9818177217719025E-2</v>
      </c>
      <c r="K23" s="58">
        <f>A2.1.1!K23/A2.1.1!K$29</f>
        <v>7.33505078535375E-2</v>
      </c>
      <c r="L23" s="58">
        <f>A2.1.1!L23/A2.1.1!L$29</f>
        <v>9.010205842505703E-2</v>
      </c>
      <c r="M23" s="62">
        <f>A2.1.1!M23/A2.1.1!M$29</f>
        <v>3.4134537571870911E-2</v>
      </c>
      <c r="N23" s="58">
        <f>A2.1.1!N23/A2.1.1!N$29</f>
        <v>7.7555163116708889E-2</v>
      </c>
      <c r="O23" s="59">
        <f>A2.1.1!O23/A2.1.1!O$29</f>
        <v>9.2736290679218625E-2</v>
      </c>
    </row>
    <row r="24" spans="1:15" customFormat="1" ht="13.35" customHeight="1">
      <c r="A24" s="26"/>
      <c r="B24" s="27" t="s">
        <v>39</v>
      </c>
      <c r="C24" s="27" t="s">
        <v>63</v>
      </c>
      <c r="D24" s="62">
        <f>A2.1.1!D24/A2.1.1!D$29</f>
        <v>2.5619229191864341E-2</v>
      </c>
      <c r="E24" s="58">
        <f>A2.1.1!E24/A2.1.1!E$29</f>
        <v>9.1523162169132699E-2</v>
      </c>
      <c r="F24" s="58">
        <f>A2.1.1!F24/A2.1.1!F$29</f>
        <v>0.12497510996666726</v>
      </c>
      <c r="G24" s="62">
        <f>A2.1.1!G24/A2.1.1!G$29</f>
        <v>3.0111933131949164E-2</v>
      </c>
      <c r="H24" s="58">
        <f>A2.1.1!H24/A2.1.1!H$29</f>
        <v>0.10019455397694779</v>
      </c>
      <c r="I24" s="58">
        <f>A2.1.1!I24/A2.1.1!I$29</f>
        <v>0.13598400403867958</v>
      </c>
      <c r="J24" s="62">
        <f>A2.1.1!J24/A2.1.1!J$29</f>
        <v>3.1992232991072782E-2</v>
      </c>
      <c r="K24" s="58">
        <f>A2.1.1!K24/A2.1.1!K$29</f>
        <v>0.10579306837032518</v>
      </c>
      <c r="L24" s="58">
        <f>A2.1.1!L24/A2.1.1!L$29</f>
        <v>0.14786007805292667</v>
      </c>
      <c r="M24" s="62">
        <f>A2.1.1!M24/A2.1.1!M$29</f>
        <v>3.6939504171409419E-2</v>
      </c>
      <c r="N24" s="58">
        <f>A2.1.1!N24/A2.1.1!N$29</f>
        <v>0.11324934404212152</v>
      </c>
      <c r="O24" s="59">
        <f>A2.1.1!O24/A2.1.1!O$29</f>
        <v>0.15511111619324436</v>
      </c>
    </row>
    <row r="25" spans="1:15" customFormat="1" ht="13.35" customHeight="1">
      <c r="A25" s="26"/>
      <c r="B25" s="27" t="s">
        <v>40</v>
      </c>
      <c r="C25" s="27" t="s">
        <v>64</v>
      </c>
      <c r="D25" s="62">
        <f>A2.1.1!D25/A2.1.1!D$29</f>
        <v>8.7732169262406106E-3</v>
      </c>
      <c r="E25" s="58">
        <f>A2.1.1!E25/A2.1.1!E$29</f>
        <v>4.4767851153726397E-2</v>
      </c>
      <c r="F25" s="58">
        <f>A2.1.1!F25/A2.1.1!F$29</f>
        <v>6.649333828539325E-2</v>
      </c>
      <c r="G25" s="62">
        <f>A2.1.1!G25/A2.1.1!G$29</f>
        <v>1.0273035944427742E-2</v>
      </c>
      <c r="H25" s="58">
        <f>A2.1.1!H25/A2.1.1!H$29</f>
        <v>4.8847769873206159E-2</v>
      </c>
      <c r="I25" s="58">
        <f>A2.1.1!I25/A2.1.1!I$29</f>
        <v>7.2688936691646347E-2</v>
      </c>
      <c r="J25" s="62">
        <f>A2.1.1!J25/A2.1.1!J$29</f>
        <v>1.0339797915550137E-2</v>
      </c>
      <c r="K25" s="58">
        <f>A2.1.1!K25/A2.1.1!K$29</f>
        <v>4.8884489842490171E-2</v>
      </c>
      <c r="L25" s="58">
        <f>A2.1.1!L25/A2.1.1!L$29</f>
        <v>7.6223164495264922E-2</v>
      </c>
      <c r="M25" s="62">
        <f>A2.1.1!M25/A2.1.1!M$29</f>
        <v>1.2238728615612118E-2</v>
      </c>
      <c r="N25" s="58">
        <f>A2.1.1!N25/A2.1.1!N$29</f>
        <v>5.3524323217215078E-2</v>
      </c>
      <c r="O25" s="59">
        <f>A2.1.1!O25/A2.1.1!O$29</f>
        <v>8.2202873719527364E-2</v>
      </c>
    </row>
    <row r="26" spans="1:15" customFormat="1" ht="13.35" customHeight="1">
      <c r="A26" s="26"/>
      <c r="B26" s="27" t="s">
        <v>41</v>
      </c>
      <c r="C26" s="27" t="s">
        <v>65</v>
      </c>
      <c r="D26" s="62">
        <f>A2.1.1!D26/A2.1.1!D$29</f>
        <v>8.3968130817797977E-3</v>
      </c>
      <c r="E26" s="58">
        <f>A2.1.1!E26/A2.1.1!E$29</f>
        <v>6.67629697744061E-2</v>
      </c>
      <c r="F26" s="58">
        <f>A2.1.1!F26/A2.1.1!F$29</f>
        <v>0.10616908539419091</v>
      </c>
      <c r="G26" s="62">
        <f>A2.1.1!G26/A2.1.1!G$29</f>
        <v>9.5807919949452616E-3</v>
      </c>
      <c r="H26" s="58">
        <f>A2.1.1!H26/A2.1.1!H$29</f>
        <v>7.0809858300627526E-2</v>
      </c>
      <c r="I26" s="58">
        <f>A2.1.1!I26/A2.1.1!I$29</f>
        <v>0.11356058116368066</v>
      </c>
      <c r="J26" s="62">
        <f>A2.1.1!J26/A2.1.1!J$29</f>
        <v>9.0967013115225391E-3</v>
      </c>
      <c r="K26" s="58">
        <f>A2.1.1!K26/A2.1.1!K$29</f>
        <v>6.6737088843260378E-2</v>
      </c>
      <c r="L26" s="58">
        <f>A2.1.1!L26/A2.1.1!L$29</f>
        <v>0.11330868304686323</v>
      </c>
      <c r="M26" s="62">
        <f>A2.1.1!M26/A2.1.1!M$29</f>
        <v>1.0712204147441392E-2</v>
      </c>
      <c r="N26" s="58">
        <f>A2.1.1!N26/A2.1.1!N$29</f>
        <v>7.2496469789293916E-2</v>
      </c>
      <c r="O26" s="59">
        <f>A2.1.1!O26/A2.1.1!O$29</f>
        <v>0.12177179500469254</v>
      </c>
    </row>
    <row r="27" spans="1:15" customFormat="1" ht="13.35" customHeight="1">
      <c r="A27" s="26"/>
      <c r="B27" s="27" t="s">
        <v>42</v>
      </c>
      <c r="C27" s="27" t="s">
        <v>66</v>
      </c>
      <c r="D27" s="62">
        <f>A2.1.1!D27/A2.1.1!D$29</f>
        <v>2.5084696928209939E-3</v>
      </c>
      <c r="E27" s="58">
        <f>A2.1.1!E27/A2.1.1!E$29</f>
        <v>4.2857079618649638E-2</v>
      </c>
      <c r="F27" s="58">
        <f>A2.1.1!F27/A2.1.1!F$29</f>
        <v>7.3771786068838094E-2</v>
      </c>
      <c r="G27" s="62">
        <f>A2.1.1!G27/A2.1.1!G$29</f>
        <v>2.6680801111752831E-3</v>
      </c>
      <c r="H27" s="58">
        <f>A2.1.1!H27/A2.1.1!H$29</f>
        <v>4.2480556100608614E-2</v>
      </c>
      <c r="I27" s="58">
        <f>A2.1.1!I27/A2.1.1!I$29</f>
        <v>7.3815209112956637E-2</v>
      </c>
      <c r="J27" s="62">
        <f>A2.1.1!J27/A2.1.1!J$29</f>
        <v>2.4312256094914208E-3</v>
      </c>
      <c r="K27" s="58">
        <f>A2.1.1!K27/A2.1.1!K$29</f>
        <v>3.836710310589532E-2</v>
      </c>
      <c r="L27" s="58">
        <f>A2.1.1!L27/A2.1.1!L$29</f>
        <v>7.0222255332018035E-2</v>
      </c>
      <c r="M27" s="62">
        <f>A2.1.1!M27/A2.1.1!M$29</f>
        <v>2.841891510631279E-3</v>
      </c>
      <c r="N27" s="58">
        <f>A2.1.1!N27/A2.1.1!N$29</f>
        <v>4.128677750477807E-2</v>
      </c>
      <c r="O27" s="59">
        <f>A2.1.1!O27/A2.1.1!O$29</f>
        <v>7.5188521999152463E-2</v>
      </c>
    </row>
    <row r="28" spans="1:15" customFormat="1" ht="13.35" customHeight="1">
      <c r="A28" s="26"/>
      <c r="B28" s="27" t="s">
        <v>43</v>
      </c>
      <c r="C28" s="27" t="s">
        <v>67</v>
      </c>
      <c r="D28" s="62">
        <f>A2.1.1!D28/A2.1.1!D$29</f>
        <v>5.4738626092013768E-4</v>
      </c>
      <c r="E28" s="58">
        <f>A2.1.1!E28/A2.1.1!E$29</f>
        <v>3.4311070857124593E-2</v>
      </c>
      <c r="F28" s="58">
        <f>A2.1.1!F28/A2.1.1!F$29</f>
        <v>6.3261404998236279E-2</v>
      </c>
      <c r="G28" s="62">
        <f>A2.1.1!G28/A2.1.1!G$29</f>
        <v>5.001801870280271E-4</v>
      </c>
      <c r="H28" s="58">
        <f>A2.1.1!H28/A2.1.1!H$29</f>
        <v>2.6457443777554018E-2</v>
      </c>
      <c r="I28" s="58">
        <f>A2.1.1!I28/A2.1.1!I$29</f>
        <v>4.8676162435867726E-2</v>
      </c>
      <c r="J28" s="62">
        <f>A2.1.1!J28/A2.1.1!J$29</f>
        <v>4.0898510836142243E-4</v>
      </c>
      <c r="K28" s="58">
        <f>A2.1.1!K28/A2.1.1!K$29</f>
        <v>2.1544700638819452E-2</v>
      </c>
      <c r="L28" s="58">
        <f>A2.1.1!L28/A2.1.1!L$29</f>
        <v>4.2606039756733272E-2</v>
      </c>
      <c r="M28" s="62">
        <f>A2.1.1!M28/A2.1.1!M$29</f>
        <v>4.6587298007469885E-4</v>
      </c>
      <c r="N28" s="58">
        <f>A2.1.1!N28/A2.1.1!N$29</f>
        <v>2.0714166487385357E-2</v>
      </c>
      <c r="O28" s="59">
        <f>A2.1.1!O28/A2.1.1!O$29</f>
        <v>3.9320615609362536E-2</v>
      </c>
    </row>
    <row r="29" spans="1:15" customFormat="1" ht="13.35" customHeight="1">
      <c r="A29" s="88"/>
      <c r="B29" s="75" t="s">
        <v>9</v>
      </c>
      <c r="C29" s="89"/>
      <c r="D29" s="63">
        <f t="shared" ref="D29:O29" si="0">SUM(D4:D28)</f>
        <v>0.99999999999999989</v>
      </c>
      <c r="E29" s="60">
        <f t="shared" si="0"/>
        <v>0.99999999999999978</v>
      </c>
      <c r="F29" s="60">
        <f t="shared" si="0"/>
        <v>1</v>
      </c>
      <c r="G29" s="63">
        <f t="shared" si="0"/>
        <v>0.99999999999999989</v>
      </c>
      <c r="H29" s="60">
        <f t="shared" si="0"/>
        <v>1.0000000000000002</v>
      </c>
      <c r="I29" s="60">
        <f t="shared" si="0"/>
        <v>0.99999999999999989</v>
      </c>
      <c r="J29" s="63">
        <f t="shared" si="0"/>
        <v>1.0000000000000002</v>
      </c>
      <c r="K29" s="60">
        <f t="shared" si="0"/>
        <v>0.99999999999999989</v>
      </c>
      <c r="L29" s="60">
        <f t="shared" si="0"/>
        <v>0.99999999999999967</v>
      </c>
      <c r="M29" s="63">
        <f t="shared" si="0"/>
        <v>1</v>
      </c>
      <c r="N29" s="60">
        <f t="shared" si="0"/>
        <v>1</v>
      </c>
      <c r="O29" s="61">
        <f t="shared" si="0"/>
        <v>0.99999999999999978</v>
      </c>
    </row>
    <row r="30" spans="1:15" customFormat="1" ht="13.35" customHeight="1">
      <c r="A30" s="26"/>
      <c r="B30" s="27"/>
      <c r="C30" s="16" t="s">
        <v>273</v>
      </c>
      <c r="D30" s="62">
        <f>A2.1.1!D30/A2.1.1!D$29</f>
        <v>7.1107100232802867E-2</v>
      </c>
      <c r="E30" s="58">
        <f>A2.1.1!E30/A2.1.1!E$29</f>
        <v>-2.6681726009762277E-2</v>
      </c>
      <c r="F30" s="58">
        <f>A2.1.1!F30/A2.1.1!F$29</f>
        <v>8.9294678289169029E-5</v>
      </c>
      <c r="G30" s="62">
        <f>A2.1.1!G30/A2.1.1!G$29</f>
        <v>6.3816748095820136E-2</v>
      </c>
      <c r="H30" s="58">
        <f>A2.1.1!H30/A2.1.1!H$29</f>
        <v>-2.5634880364612672E-2</v>
      </c>
      <c r="I30" s="58">
        <f>A2.1.1!I30/A2.1.1!I$29</f>
        <v>3.5539719732734924E-5</v>
      </c>
      <c r="J30" s="62">
        <f>A2.1.1!J30/A2.1.1!J$29</f>
        <v>6.1492383388529963E-2</v>
      </c>
      <c r="K30" s="58">
        <f>A2.1.1!K30/A2.1.1!K$29</f>
        <v>-2.8641636512673405E-2</v>
      </c>
      <c r="L30" s="58">
        <f>A2.1.1!L30/A2.1.1!L$29</f>
        <v>2.5429187405994748E-5</v>
      </c>
      <c r="M30" s="62">
        <f>A2.1.1!M30/A2.1.1!M$29</f>
        <v>4.6074550289960048E-2</v>
      </c>
      <c r="N30" s="58">
        <f>A2.1.1!N30/A2.1.1!N$29</f>
        <v>-2.5620976839022796E-2</v>
      </c>
      <c r="O30" s="59">
        <f>A2.1.1!O30/A2.1.1!O$29</f>
        <v>1.7274949815693033E-5</v>
      </c>
    </row>
    <row r="31" spans="1:15" customFormat="1" ht="13.35" customHeight="1">
      <c r="A31" s="26"/>
      <c r="B31" s="27"/>
      <c r="C31" s="16" t="s">
        <v>274</v>
      </c>
      <c r="D31" s="62">
        <f>A2.1.1!D31/A2.1.1!D$29</f>
        <v>0.16128880482320782</v>
      </c>
      <c r="E31" s="58">
        <f>A2.1.1!E31/A2.1.1!E$29</f>
        <v>3.3849733940219763E-2</v>
      </c>
      <c r="F31" s="58">
        <f>A2.1.1!F31/A2.1.1!F$29</f>
        <v>2.547995861541444E-3</v>
      </c>
      <c r="G31" s="62">
        <f>A2.1.1!G31/A2.1.1!G$29</f>
        <v>0.14676114665459539</v>
      </c>
      <c r="H31" s="58">
        <f>A2.1.1!H31/A2.1.1!H$29</f>
        <v>2.8733603528964664E-2</v>
      </c>
      <c r="I31" s="58">
        <f>A2.1.1!I31/A2.1.1!I$29</f>
        <v>1.6064255068690056E-3</v>
      </c>
      <c r="J31" s="62">
        <f>A2.1.1!J31/A2.1.1!J$29</f>
        <v>0.1435046948218559</v>
      </c>
      <c r="K31" s="58">
        <f>A2.1.1!K31/A2.1.1!K$29</f>
        <v>2.748252059726064E-2</v>
      </c>
      <c r="L31" s="58">
        <f>A2.1.1!L31/A2.1.1!L$29</f>
        <v>3.8917607563532523E-4</v>
      </c>
      <c r="M31" s="62">
        <f>A2.1.1!M31/A2.1.1!M$29</f>
        <v>0.13787297476812482</v>
      </c>
      <c r="N31" s="58">
        <f>A2.1.1!N31/A2.1.1!N$29</f>
        <v>2.4181871317376074E-2</v>
      </c>
      <c r="O31" s="59">
        <f>A2.1.1!O31/A2.1.1!O$29</f>
        <v>1.6054069898863252E-4</v>
      </c>
    </row>
    <row r="32" spans="1:15" customFormat="1" ht="13.35" customHeight="1">
      <c r="A32" s="26"/>
      <c r="B32" s="27"/>
      <c r="C32" s="16" t="s">
        <v>275</v>
      </c>
      <c r="D32" s="62">
        <f>A2.1.1!D32/A2.1.1!D$29</f>
        <v>0.28292254302511793</v>
      </c>
      <c r="E32" s="58">
        <f>A2.1.1!E32/A2.1.1!E$29</f>
        <v>0.15409602067366726</v>
      </c>
      <c r="F32" s="58">
        <f>A2.1.1!F32/A2.1.1!F$29</f>
        <v>6.6022117007564551E-2</v>
      </c>
      <c r="G32" s="62">
        <f>A2.1.1!G32/A2.1.1!G$29</f>
        <v>0.25362551457365806</v>
      </c>
      <c r="H32" s="58">
        <f>A2.1.1!H32/A2.1.1!H$29</f>
        <v>0.12722860803833622</v>
      </c>
      <c r="I32" s="58">
        <f>A2.1.1!I32/A2.1.1!I$29</f>
        <v>5.0223390905529616E-2</v>
      </c>
      <c r="J32" s="62">
        <f>A2.1.1!J32/A2.1.1!J$29</f>
        <v>0.25169597944735317</v>
      </c>
      <c r="K32" s="58">
        <f>A2.1.1!K32/A2.1.1!K$29</f>
        <v>0.12480085673670838</v>
      </c>
      <c r="L32" s="58">
        <f>A2.1.1!L32/A2.1.1!L$29</f>
        <v>4.0909512806462447E-2</v>
      </c>
      <c r="M32" s="62">
        <f>A2.1.1!M32/A2.1.1!M$29</f>
        <v>0.24038294007197483</v>
      </c>
      <c r="N32" s="58">
        <f>A2.1.1!N32/A2.1.1!N$29</f>
        <v>0.1095480175364662</v>
      </c>
      <c r="O32" s="59">
        <f>A2.1.1!O32/A2.1.1!O$29</f>
        <v>3.2431831583670856E-2</v>
      </c>
    </row>
    <row r="33" spans="1:15" customFormat="1" ht="13.35" customHeight="1">
      <c r="A33" s="26"/>
      <c r="B33" s="27"/>
      <c r="C33" s="27" t="s">
        <v>276</v>
      </c>
      <c r="D33" s="62">
        <f>A2.1.1!D33/A2.1.1!D$29</f>
        <v>0.41340371179785951</v>
      </c>
      <c r="E33" s="58">
        <f>A2.1.1!E33/A2.1.1!E$29</f>
        <v>0.49114372631262138</v>
      </c>
      <c r="F33" s="58">
        <f>A2.1.1!F33/A2.1.1!F$29</f>
        <v>0.41363876503570018</v>
      </c>
      <c r="G33" s="62">
        <f>A2.1.1!G33/A2.1.1!G$29</f>
        <v>0.45314537778987318</v>
      </c>
      <c r="H33" s="58">
        <f>A2.1.1!H33/A2.1.1!H$29</f>
        <v>0.50794088144414096</v>
      </c>
      <c r="I33" s="58">
        <f>A2.1.1!I33/A2.1.1!I$29</f>
        <v>0.41506004070936448</v>
      </c>
      <c r="J33" s="62">
        <f>A2.1.1!J33/A2.1.1!J$29</f>
        <v>0.45921982218854368</v>
      </c>
      <c r="K33" s="58">
        <f>A2.1.1!K33/A2.1.1!K$29</f>
        <v>0.52168130052437645</v>
      </c>
      <c r="L33" s="58">
        <f>A2.1.1!L33/A2.1.1!L$29</f>
        <v>0.41835360282163281</v>
      </c>
      <c r="M33" s="62">
        <f>A2.1.1!M33/A2.1.1!M$29</f>
        <v>0.47833679587290046</v>
      </c>
      <c r="N33" s="58">
        <f>A2.1.1!N33/A2.1.1!N$29</f>
        <v>0.51306484382767781</v>
      </c>
      <c r="O33" s="59">
        <f>A2.1.1!O33/A2.1.1!O$29</f>
        <v>0.40105913956232686</v>
      </c>
    </row>
    <row r="34" spans="1:15" customFormat="1" ht="13.35" customHeight="1">
      <c r="A34" s="26"/>
      <c r="B34" s="27"/>
      <c r="C34" s="246" t="s">
        <v>514</v>
      </c>
      <c r="D34" s="62">
        <f>A2.1.1!D34/A2.1.1!D$29</f>
        <v>7.127784012101189E-2</v>
      </c>
      <c r="E34" s="58">
        <f>A2.1.1!E34/A2.1.1!E$29</f>
        <v>0.34759224508325376</v>
      </c>
      <c r="F34" s="58">
        <f>A2.1.1!F34/A2.1.1!F$29</f>
        <v>0.51770182741690463</v>
      </c>
      <c r="G34" s="62">
        <f>A2.1.1!G34/A2.1.1!G$29</f>
        <v>8.2651212886053246E-2</v>
      </c>
      <c r="H34" s="58">
        <f>A2.1.1!H34/A2.1.1!H$29</f>
        <v>0.36173178735317102</v>
      </c>
      <c r="I34" s="58">
        <f>A2.1.1!I34/A2.1.1!I$29</f>
        <v>0.53307460315850408</v>
      </c>
      <c r="J34" s="62">
        <f>A2.1.1!J34/A2.1.1!J$29</f>
        <v>8.4087120153717332E-2</v>
      </c>
      <c r="K34" s="58">
        <f>A2.1.1!K34/A2.1.1!K$29</f>
        <v>0.35467695865432797</v>
      </c>
      <c r="L34" s="58">
        <f>A2.1.1!L34/A2.1.1!L$29</f>
        <v>0.5403222791088631</v>
      </c>
      <c r="M34" s="62">
        <f>A2.1.1!M34/A2.1.1!M$29</f>
        <v>9.7332738997039814E-2</v>
      </c>
      <c r="N34" s="58">
        <f>A2.1.1!N34/A2.1.1!N$29</f>
        <v>0.37882624415750282</v>
      </c>
      <c r="O34" s="59">
        <f>A2.1.1!O34/A2.1.1!O$29</f>
        <v>0.56633121320519786</v>
      </c>
    </row>
    <row r="35" spans="1:15" s="1" customFormat="1" ht="13.35" customHeight="1">
      <c r="A35" s="88"/>
      <c r="B35" s="75" t="s">
        <v>9</v>
      </c>
      <c r="C35" s="89"/>
      <c r="D35" s="63">
        <f>A2.1.1!D35/A2.1.1!D$29</f>
        <v>1</v>
      </c>
      <c r="E35" s="60">
        <f>A2.1.1!E35/A2.1.1!E$29</f>
        <v>0.99999999999999978</v>
      </c>
      <c r="F35" s="60">
        <f>A2.1.1!F35/A2.1.1!F$29</f>
        <v>1</v>
      </c>
      <c r="G35" s="63">
        <f>A2.1.1!G35/A2.1.1!G$29</f>
        <v>1</v>
      </c>
      <c r="H35" s="60">
        <f>A2.1.1!H35/A2.1.1!H$29</f>
        <v>1.0000000000000002</v>
      </c>
      <c r="I35" s="60">
        <f>A2.1.1!I35/A2.1.1!I$29</f>
        <v>0.99999999999999978</v>
      </c>
      <c r="J35" s="63">
        <f>A2.1.1!J35/A2.1.1!J$29</f>
        <v>1</v>
      </c>
      <c r="K35" s="60">
        <f>A2.1.1!K35/A2.1.1!K$29</f>
        <v>1</v>
      </c>
      <c r="L35" s="60">
        <f>A2.1.1!L35/A2.1.1!L$29</f>
        <v>0.99999999999999967</v>
      </c>
      <c r="M35" s="63">
        <f>A2.1.1!M35/A2.1.1!M$29</f>
        <v>1</v>
      </c>
      <c r="N35" s="60">
        <f>A2.1.1!N35/A2.1.1!N$29</f>
        <v>1.0000000000000002</v>
      </c>
      <c r="O35" s="61">
        <f>A2.1.1!O35/A2.1.1!O$29</f>
        <v>0.99999999999999989</v>
      </c>
    </row>
    <row r="36" spans="1:15" customFormat="1" ht="13.35" customHeight="1">
      <c r="A36" s="1"/>
      <c r="B36" s="1"/>
      <c r="C36" s="1"/>
      <c r="D36" s="1"/>
      <c r="E36" s="1"/>
      <c r="F36" s="1"/>
      <c r="G36" s="1"/>
      <c r="H36" s="1"/>
      <c r="I36" s="1"/>
      <c r="J36" s="1"/>
      <c r="K36" s="1"/>
      <c r="L36" s="1"/>
      <c r="M36" s="1"/>
      <c r="N36" s="1"/>
      <c r="O36" s="1"/>
    </row>
    <row r="37" spans="1:15" customFormat="1" ht="13.35" customHeight="1">
      <c r="H37" s="560" t="s">
        <v>506</v>
      </c>
    </row>
    <row r="38" spans="1:15" customFormat="1" ht="13.35" customHeight="1">
      <c r="H38" s="1"/>
    </row>
    <row r="39" spans="1:15" customFormat="1" ht="13.35" customHeight="1">
      <c r="H39" s="1"/>
      <c r="J39" s="659">
        <f>J20+J21</f>
        <v>0.28782932298895481</v>
      </c>
      <c r="K39" s="660"/>
      <c r="L39" s="661"/>
    </row>
    <row r="40" spans="1:15" customFormat="1" ht="13.35" customHeight="1">
      <c r="H40" s="1"/>
      <c r="J40" s="662">
        <f>SUM(J10:J21)</f>
        <v>0.69129455020254027</v>
      </c>
      <c r="K40" s="663">
        <f>SUM(K10:K21)</f>
        <v>0.546722889180694</v>
      </c>
      <c r="L40" s="664">
        <f>SUM(L10:L21)</f>
        <v>0.33945174831447084</v>
      </c>
    </row>
    <row r="41" spans="1:15" customFormat="1" ht="13.35" customHeight="1">
      <c r="H41" s="1"/>
      <c r="J41" s="662">
        <f>SUM(J4:J9)</f>
        <v>0.16577355225270091</v>
      </c>
      <c r="K41" s="663">
        <f>SUM(K4:K9)</f>
        <v>-1.3102009610637063E-2</v>
      </c>
      <c r="L41" s="664">
        <f>SUM(L4:L9)</f>
        <v>1.0290511851006947E-4</v>
      </c>
    </row>
    <row r="42" spans="1:15" customFormat="1" ht="13.35" customHeight="1">
      <c r="H42" s="1"/>
      <c r="J42" s="665">
        <f>SUM(J22:J28)</f>
        <v>0.1429318975447588</v>
      </c>
      <c r="K42" s="666">
        <f>SUM(K22:K28)</f>
        <v>0.46637912042994306</v>
      </c>
      <c r="L42" s="667">
        <f>SUM(L22:L28)</f>
        <v>0.6604453465670187</v>
      </c>
    </row>
    <row r="43" spans="1:15" customFormat="1" ht="13.35" customHeight="1">
      <c r="H43" s="1"/>
    </row>
    <row r="44" spans="1:15" customFormat="1" ht="13.35" customHeight="1">
      <c r="H44" s="1"/>
    </row>
  </sheetData>
  <mergeCells count="1">
    <mergeCell ref="B3:C3"/>
  </mergeCells>
  <phoneticPr fontId="7" type="noConversion"/>
  <hyperlinks>
    <hyperlink ref="H37" location="CONTENTS!A1" display="BACK TO CONTENTS"/>
  </hyperlinks>
  <pageMargins left="0.98425196850393704" right="0.98425196850393704" top="0.98425196850393704" bottom="0.98425196850393704"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4">
    <pageSetUpPr fitToPage="1"/>
  </sheetPr>
  <dimension ref="A1:I18"/>
  <sheetViews>
    <sheetView showGridLines="0" zoomScaleNormal="100" zoomScaleSheetLayoutView="90" workbookViewId="0"/>
  </sheetViews>
  <sheetFormatPr defaultColWidth="9.140625" defaultRowHeight="12.75"/>
  <cols>
    <col min="1" max="1" width="3.7109375" style="319" customWidth="1"/>
    <col min="2" max="9" width="10.28515625" style="324" customWidth="1"/>
    <col min="10" max="16384" width="9.140625" style="318"/>
  </cols>
  <sheetData>
    <row r="1" spans="1:9" s="317" customFormat="1" ht="15" customHeight="1">
      <c r="B1" s="451" t="s">
        <v>418</v>
      </c>
      <c r="C1" s="333"/>
      <c r="D1" s="333"/>
      <c r="E1" s="333"/>
      <c r="F1" s="333"/>
      <c r="G1" s="333"/>
      <c r="H1" s="333"/>
      <c r="I1" s="333"/>
    </row>
    <row r="2" spans="1:9" s="319" customFormat="1" ht="13.35" customHeight="1">
      <c r="A2" s="452"/>
      <c r="B2" s="479" t="s">
        <v>358</v>
      </c>
      <c r="C2" s="670" t="s">
        <v>359</v>
      </c>
      <c r="D2" s="668" t="s">
        <v>360</v>
      </c>
      <c r="E2" s="670" t="s">
        <v>361</v>
      </c>
      <c r="F2" s="668" t="s">
        <v>360</v>
      </c>
      <c r="G2" s="670" t="s">
        <v>362</v>
      </c>
      <c r="H2" s="668" t="s">
        <v>360</v>
      </c>
      <c r="I2" s="668" t="s">
        <v>9</v>
      </c>
    </row>
    <row r="3" spans="1:9" s="319" customFormat="1" ht="22.5">
      <c r="A3" s="454"/>
      <c r="B3" s="480" t="s">
        <v>363</v>
      </c>
      <c r="C3" s="671"/>
      <c r="D3" s="669"/>
      <c r="E3" s="671"/>
      <c r="F3" s="669"/>
      <c r="G3" s="671"/>
      <c r="H3" s="669"/>
      <c r="I3" s="669"/>
    </row>
    <row r="4" spans="1:9" s="319" customFormat="1" ht="13.35" customHeight="1">
      <c r="A4" s="453"/>
      <c r="B4" s="481" t="s">
        <v>350</v>
      </c>
      <c r="C4" s="474">
        <v>3433.3618923700001</v>
      </c>
      <c r="D4" s="472"/>
      <c r="E4" s="474">
        <v>4550.5866001400009</v>
      </c>
      <c r="F4" s="472"/>
      <c r="G4" s="474">
        <v>4607.6697580099981</v>
      </c>
      <c r="H4" s="472"/>
      <c r="I4" s="320">
        <f t="shared" ref="I4:I7" si="0">C4+E4+G4</f>
        <v>12591.618250519998</v>
      </c>
    </row>
    <row r="5" spans="1:9" s="319" customFormat="1" ht="13.35" customHeight="1">
      <c r="A5" s="453"/>
      <c r="B5" s="481" t="s">
        <v>351</v>
      </c>
      <c r="C5" s="474">
        <v>4037.1062278900004</v>
      </c>
      <c r="D5" s="472">
        <f>C5/C4-1</f>
        <v>0.17584640199499746</v>
      </c>
      <c r="E5" s="474">
        <v>6380.6930551000005</v>
      </c>
      <c r="F5" s="472">
        <f>E5/E4-1</f>
        <v>0.40216934996989084</v>
      </c>
      <c r="G5" s="474">
        <v>6150.0654613100005</v>
      </c>
      <c r="H5" s="472">
        <f>G5/G4-1</f>
        <v>0.33474528000160886</v>
      </c>
      <c r="I5" s="320">
        <f t="shared" si="0"/>
        <v>16567.864744300001</v>
      </c>
    </row>
    <row r="6" spans="1:9" s="319" customFormat="1" ht="13.35" customHeight="1">
      <c r="A6" s="453"/>
      <c r="B6" s="482" t="s">
        <v>352</v>
      </c>
      <c r="C6" s="474">
        <v>4539.1761889099989</v>
      </c>
      <c r="D6" s="472">
        <f>C6/C5-1</f>
        <v>0.12436382217329123</v>
      </c>
      <c r="E6" s="474">
        <v>8357.5163272099999</v>
      </c>
      <c r="F6" s="472">
        <f>E6/E5-1</f>
        <v>0.30981325304936136</v>
      </c>
      <c r="G6" s="474">
        <v>4746.3433670000004</v>
      </c>
      <c r="H6" s="472">
        <f>G6/G5-1</f>
        <v>-0.22824506554292823</v>
      </c>
      <c r="I6" s="320">
        <f t="shared" si="0"/>
        <v>17643.035883119999</v>
      </c>
    </row>
    <row r="7" spans="1:9" s="319" customFormat="1" ht="13.35" customHeight="1">
      <c r="A7" s="453"/>
      <c r="B7" s="482" t="s">
        <v>353</v>
      </c>
      <c r="C7" s="474">
        <v>5814.0279334899997</v>
      </c>
      <c r="D7" s="472">
        <f>C7/C6-1</f>
        <v>0.28085531196050217</v>
      </c>
      <c r="E7" s="474">
        <v>7847.533904609998</v>
      </c>
      <c r="F7" s="472">
        <f>E7/E6-1</f>
        <v>-6.1020810804715442E-2</v>
      </c>
      <c r="G7" s="474">
        <v>1559.59113845</v>
      </c>
      <c r="H7" s="472">
        <f>G7/G6-1</f>
        <v>-0.67141207075463583</v>
      </c>
      <c r="I7" s="320">
        <f t="shared" si="0"/>
        <v>15221.152976549998</v>
      </c>
    </row>
    <row r="8" spans="1:9" s="319" customFormat="1" ht="13.35" customHeight="1">
      <c r="A8" s="453"/>
      <c r="B8" s="483" t="s">
        <v>417</v>
      </c>
      <c r="C8" s="475">
        <v>5812.6041983399982</v>
      </c>
      <c r="D8" s="473">
        <f>C8/C7-1</f>
        <v>-2.4487931022831866E-4</v>
      </c>
      <c r="E8" s="475">
        <v>8597.6811277099932</v>
      </c>
      <c r="F8" s="473">
        <f>E8/E7-1</f>
        <v>9.5590185683597229E-2</v>
      </c>
      <c r="G8" s="475">
        <v>1164.6300121699999</v>
      </c>
      <c r="H8" s="473">
        <f>G8/G7-1</f>
        <v>-0.25324658273740408</v>
      </c>
      <c r="I8" s="471">
        <f t="shared" ref="I8" si="1">C8+E8+G8</f>
        <v>15574.915338219991</v>
      </c>
    </row>
    <row r="9" spans="1:9" s="319" customFormat="1" ht="13.35" customHeight="1">
      <c r="A9" s="452"/>
      <c r="B9" s="484" t="s">
        <v>92</v>
      </c>
      <c r="C9" s="476"/>
      <c r="D9" s="321"/>
      <c r="E9" s="476"/>
      <c r="F9" s="321"/>
      <c r="G9" s="476"/>
      <c r="H9" s="321"/>
      <c r="I9" s="321"/>
    </row>
    <row r="10" spans="1:9" s="319" customFormat="1" ht="13.35" customHeight="1">
      <c r="A10" s="453"/>
      <c r="B10" s="481" t="s">
        <v>350</v>
      </c>
      <c r="C10" s="477">
        <f t="shared" ref="C10:C14" si="2">C4/$I4</f>
        <v>0.27267042440936551</v>
      </c>
      <c r="D10" s="472"/>
      <c r="E10" s="477">
        <f t="shared" ref="E10:E14" si="3">E4/$I4</f>
        <v>0.36139807525947465</v>
      </c>
      <c r="F10" s="472"/>
      <c r="G10" s="477">
        <f t="shared" ref="G10:G14" si="4">G4/$I4</f>
        <v>0.36593150033115995</v>
      </c>
      <c r="H10" s="472"/>
      <c r="I10" s="322">
        <f t="shared" ref="I10:I14" si="5">I4/$I4</f>
        <v>1</v>
      </c>
    </row>
    <row r="11" spans="1:9" s="319" customFormat="1" ht="13.35" customHeight="1">
      <c r="A11" s="453"/>
      <c r="B11" s="481" t="s">
        <v>351</v>
      </c>
      <c r="C11" s="477">
        <f t="shared" si="2"/>
        <v>0.24367088277195914</v>
      </c>
      <c r="D11" s="472"/>
      <c r="E11" s="477">
        <f t="shared" si="3"/>
        <v>0.38512464663228319</v>
      </c>
      <c r="F11" s="472"/>
      <c r="G11" s="477">
        <f t="shared" si="4"/>
        <v>0.37120447059575773</v>
      </c>
      <c r="H11" s="472"/>
      <c r="I11" s="322">
        <f t="shared" si="5"/>
        <v>1</v>
      </c>
    </row>
    <row r="12" spans="1:9" s="319" customFormat="1" ht="13.35" customHeight="1">
      <c r="A12" s="453"/>
      <c r="B12" s="482" t="s">
        <v>352</v>
      </c>
      <c r="C12" s="477">
        <f t="shared" si="2"/>
        <v>0.25727863497987113</v>
      </c>
      <c r="D12" s="472"/>
      <c r="E12" s="477">
        <f t="shared" si="3"/>
        <v>0.47370057979681751</v>
      </c>
      <c r="F12" s="472"/>
      <c r="G12" s="477">
        <f t="shared" si="4"/>
        <v>0.26902078522331135</v>
      </c>
      <c r="H12" s="472"/>
      <c r="I12" s="322">
        <f t="shared" si="5"/>
        <v>1</v>
      </c>
    </row>
    <row r="13" spans="1:9" s="319" customFormat="1" ht="13.35" customHeight="1">
      <c r="A13" s="453"/>
      <c r="B13" s="482" t="s">
        <v>353</v>
      </c>
      <c r="C13" s="477">
        <f t="shared" si="2"/>
        <v>0.38197027140106948</v>
      </c>
      <c r="D13" s="472"/>
      <c r="E13" s="477">
        <f t="shared" si="3"/>
        <v>0.51556763910723846</v>
      </c>
      <c r="F13" s="472"/>
      <c r="G13" s="477">
        <f t="shared" si="4"/>
        <v>0.102462089491692</v>
      </c>
      <c r="H13" s="472"/>
      <c r="I13" s="322">
        <f t="shared" si="5"/>
        <v>1</v>
      </c>
    </row>
    <row r="14" spans="1:9" s="319" customFormat="1" ht="13.35" customHeight="1">
      <c r="A14" s="453"/>
      <c r="B14" s="483" t="s">
        <v>417</v>
      </c>
      <c r="C14" s="478">
        <f t="shared" si="2"/>
        <v>0.37320294024816847</v>
      </c>
      <c r="D14" s="473"/>
      <c r="E14" s="478">
        <f t="shared" si="3"/>
        <v>0.55202105058072148</v>
      </c>
      <c r="F14" s="473"/>
      <c r="G14" s="478">
        <f t="shared" si="4"/>
        <v>7.4776009171110006E-2</v>
      </c>
      <c r="H14" s="473"/>
      <c r="I14" s="323">
        <f t="shared" si="5"/>
        <v>1</v>
      </c>
    </row>
    <row r="16" spans="1:9">
      <c r="E16" s="560" t="s">
        <v>506</v>
      </c>
    </row>
    <row r="18" spans="2:2">
      <c r="B18" s="397"/>
    </row>
  </sheetData>
  <mergeCells count="7">
    <mergeCell ref="H2:H3"/>
    <mergeCell ref="I2:I3"/>
    <mergeCell ref="C2:C3"/>
    <mergeCell ref="D2:D3"/>
    <mergeCell ref="E2:E3"/>
    <mergeCell ref="F2:F3"/>
    <mergeCell ref="G2:G3"/>
  </mergeCells>
  <hyperlinks>
    <hyperlink ref="E16"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sheetPr codeName="Sheet54">
    <pageSetUpPr fitToPage="1"/>
  </sheetPr>
  <dimension ref="A1:Q5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6.28515625" style="2" customWidth="1"/>
    <col min="4" max="4" width="11.140625" style="2" bestFit="1" customWidth="1"/>
    <col min="5" max="6" width="9.7109375" style="2" customWidth="1"/>
    <col min="7" max="7" width="11.7109375" style="14" bestFit="1" customWidth="1"/>
    <col min="8" max="9" width="9.7109375" style="6" customWidth="1"/>
    <col min="10" max="10" width="11.42578125" style="6" bestFit="1" customWidth="1"/>
    <col min="11" max="12" width="9.7109375" style="6" customWidth="1"/>
    <col min="13" max="13" width="11.7109375" style="6" bestFit="1" customWidth="1"/>
    <col min="14" max="14" width="9.7109375" style="6" customWidth="1"/>
    <col min="15" max="15" width="11.42578125" style="6" bestFit="1" customWidth="1"/>
    <col min="16" max="16384" width="9.140625" style="10"/>
  </cols>
  <sheetData>
    <row r="1" spans="1:17" s="8" customFormat="1" ht="15" customHeight="1">
      <c r="A1" s="455" t="s">
        <v>484</v>
      </c>
      <c r="B1" s="455"/>
      <c r="C1" s="455"/>
      <c r="D1" s="564"/>
      <c r="E1" s="564"/>
      <c r="F1" s="564"/>
      <c r="G1" s="565"/>
      <c r="H1" s="566"/>
      <c r="I1" s="567"/>
      <c r="J1" s="566"/>
      <c r="K1" s="566"/>
      <c r="L1" s="566"/>
      <c r="M1" s="566"/>
      <c r="N1" s="566"/>
      <c r="O1" s="566"/>
      <c r="P1" s="568"/>
    </row>
    <row r="2" spans="1:17" s="8" customFormat="1" ht="15" customHeight="1">
      <c r="A2" s="90"/>
      <c r="B2" s="91" t="s">
        <v>183</v>
      </c>
      <c r="C2" s="92"/>
      <c r="D2" s="84" t="s">
        <v>463</v>
      </c>
      <c r="E2" s="67"/>
      <c r="F2" s="67"/>
      <c r="G2" s="65" t="s">
        <v>464</v>
      </c>
      <c r="H2" s="67"/>
      <c r="I2" s="67"/>
      <c r="J2" s="65" t="s">
        <v>465</v>
      </c>
      <c r="K2" s="67"/>
      <c r="L2" s="67"/>
      <c r="M2" s="65" t="s">
        <v>466</v>
      </c>
      <c r="N2" s="67"/>
      <c r="O2" s="85"/>
      <c r="Q2" s="408"/>
    </row>
    <row r="3" spans="1:17" ht="56.25">
      <c r="A3" s="80"/>
      <c r="B3" s="703" t="s">
        <v>477</v>
      </c>
      <c r="C3" s="702"/>
      <c r="D3" s="32" t="s">
        <v>18</v>
      </c>
      <c r="E3" s="33" t="s">
        <v>68</v>
      </c>
      <c r="F3" s="33" t="s">
        <v>452</v>
      </c>
      <c r="G3" s="32" t="s">
        <v>18</v>
      </c>
      <c r="H3" s="33" t="s">
        <v>68</v>
      </c>
      <c r="I3" s="33" t="s">
        <v>452</v>
      </c>
      <c r="J3" s="32" t="s">
        <v>18</v>
      </c>
      <c r="K3" s="33" t="s">
        <v>68</v>
      </c>
      <c r="L3" s="33" t="s">
        <v>452</v>
      </c>
      <c r="M3" s="32" t="s">
        <v>18</v>
      </c>
      <c r="N3" s="33" t="s">
        <v>68</v>
      </c>
      <c r="O3" s="86" t="s">
        <v>452</v>
      </c>
      <c r="Q3" s="248"/>
    </row>
    <row r="4" spans="1:17" ht="13.35" customHeight="1">
      <c r="A4" s="49"/>
      <c r="B4" s="16" t="s">
        <v>19</v>
      </c>
      <c r="C4" s="16" t="s">
        <v>44</v>
      </c>
      <c r="D4" s="19">
        <v>63425</v>
      </c>
      <c r="E4" s="15">
        <v>-17918.187507999999</v>
      </c>
      <c r="F4" s="15">
        <v>-17125.282307000001</v>
      </c>
      <c r="G4" s="19">
        <v>63014</v>
      </c>
      <c r="H4" s="15">
        <v>-19903.565965000002</v>
      </c>
      <c r="I4" s="15">
        <v>-19150.585482999999</v>
      </c>
      <c r="J4" s="19">
        <v>61738</v>
      </c>
      <c r="K4" s="15">
        <v>-20375.899538000001</v>
      </c>
      <c r="L4" s="15">
        <v>-19607.054177999999</v>
      </c>
      <c r="M4" s="19">
        <v>52682</v>
      </c>
      <c r="N4" s="15">
        <v>-22030.251719</v>
      </c>
      <c r="O4" s="24">
        <v>-21237.746469999998</v>
      </c>
    </row>
    <row r="5" spans="1:17" s="51" customFormat="1" ht="13.35" customHeight="1">
      <c r="A5" s="49"/>
      <c r="B5" s="16" t="s">
        <v>20</v>
      </c>
      <c r="C5" s="50" t="s">
        <v>137</v>
      </c>
      <c r="D5" s="19">
        <v>211160</v>
      </c>
      <c r="E5" s="15">
        <v>-98.766047999999998</v>
      </c>
      <c r="F5" s="15">
        <v>0</v>
      </c>
      <c r="G5" s="19">
        <v>200209</v>
      </c>
      <c r="H5" s="15">
        <v>-89.143189000000007</v>
      </c>
      <c r="I5" s="15">
        <v>0</v>
      </c>
      <c r="J5" s="19">
        <v>200607</v>
      </c>
      <c r="K5" s="15">
        <v>-117.18443499999999</v>
      </c>
      <c r="L5" s="15">
        <v>0</v>
      </c>
      <c r="M5" s="19">
        <v>136634</v>
      </c>
      <c r="N5" s="15">
        <v>-105.834149</v>
      </c>
      <c r="O5" s="24">
        <v>0</v>
      </c>
      <c r="Q5" s="248"/>
    </row>
    <row r="6" spans="1:17" ht="13.35" customHeight="1">
      <c r="A6" s="49"/>
      <c r="B6" s="16" t="s">
        <v>21</v>
      </c>
      <c r="C6" s="16" t="s">
        <v>45</v>
      </c>
      <c r="D6" s="19">
        <v>140024</v>
      </c>
      <c r="E6" s="15">
        <v>1049.4354269999999</v>
      </c>
      <c r="F6" s="15">
        <v>1373.2875710000001</v>
      </c>
      <c r="G6" s="19">
        <v>139484</v>
      </c>
      <c r="H6" s="15">
        <v>1039.3163280000001</v>
      </c>
      <c r="I6" s="15">
        <v>1353.7275380000001</v>
      </c>
      <c r="J6" s="19">
        <v>155313</v>
      </c>
      <c r="K6" s="15">
        <v>1169.573294</v>
      </c>
      <c r="L6" s="15">
        <v>1494.71931</v>
      </c>
      <c r="M6" s="19">
        <v>150725</v>
      </c>
      <c r="N6" s="15">
        <v>1168.3245870000001</v>
      </c>
      <c r="O6" s="24">
        <v>1486.1740950000001</v>
      </c>
      <c r="Q6" s="248"/>
    </row>
    <row r="7" spans="1:17" ht="13.35" customHeight="1">
      <c r="A7" s="49"/>
      <c r="B7" s="16" t="s">
        <v>22</v>
      </c>
      <c r="C7" s="16" t="s">
        <v>46</v>
      </c>
      <c r="D7" s="19">
        <v>74311</v>
      </c>
      <c r="E7" s="15">
        <v>1644.3939660000001</v>
      </c>
      <c r="F7" s="15">
        <v>1875.7428239999999</v>
      </c>
      <c r="G7" s="19">
        <v>73088</v>
      </c>
      <c r="H7" s="15">
        <v>1616.213904</v>
      </c>
      <c r="I7" s="15">
        <v>1837.983358</v>
      </c>
      <c r="J7" s="19">
        <v>77364</v>
      </c>
      <c r="K7" s="15">
        <v>1712.9007349999999</v>
      </c>
      <c r="L7" s="15">
        <v>1945.538503</v>
      </c>
      <c r="M7" s="19">
        <v>78683</v>
      </c>
      <c r="N7" s="15">
        <v>1753.893055</v>
      </c>
      <c r="O7" s="24">
        <v>1976.699738</v>
      </c>
      <c r="Q7" s="21"/>
    </row>
    <row r="8" spans="1:17" ht="13.35" customHeight="1">
      <c r="A8" s="49"/>
      <c r="B8" s="16" t="s">
        <v>23</v>
      </c>
      <c r="C8" s="16" t="s">
        <v>47</v>
      </c>
      <c r="D8" s="19">
        <v>92364</v>
      </c>
      <c r="E8" s="15">
        <v>2974.4271079999999</v>
      </c>
      <c r="F8" s="15">
        <v>3277.2977569999998</v>
      </c>
      <c r="G8" s="19">
        <v>84882</v>
      </c>
      <c r="H8" s="15">
        <v>2692.0806050000001</v>
      </c>
      <c r="I8" s="15">
        <v>2995.6636739999999</v>
      </c>
      <c r="J8" s="19">
        <v>87173</v>
      </c>
      <c r="K8" s="15">
        <v>-69.567211999999998</v>
      </c>
      <c r="L8" s="15">
        <v>3068.4558499999998</v>
      </c>
      <c r="M8" s="19">
        <v>84465</v>
      </c>
      <c r="N8" s="15">
        <v>2679.1703200000002</v>
      </c>
      <c r="O8" s="24">
        <v>2972.0091430000002</v>
      </c>
    </row>
    <row r="9" spans="1:17" ht="13.35" customHeight="1">
      <c r="A9" s="49"/>
      <c r="B9" s="16" t="s">
        <v>24</v>
      </c>
      <c r="C9" s="16" t="s">
        <v>48</v>
      </c>
      <c r="D9" s="19">
        <v>129550</v>
      </c>
      <c r="E9" s="15">
        <v>5328.9427260000002</v>
      </c>
      <c r="F9" s="15">
        <v>5814.5341520000002</v>
      </c>
      <c r="G9" s="19">
        <v>127270</v>
      </c>
      <c r="H9" s="15">
        <v>5317.1602510000002</v>
      </c>
      <c r="I9" s="15">
        <v>5768.0588879999996</v>
      </c>
      <c r="J9" s="19">
        <v>102163</v>
      </c>
      <c r="K9" s="15">
        <v>4212.3577370000003</v>
      </c>
      <c r="L9" s="15">
        <v>4628.6360109999996</v>
      </c>
      <c r="M9" s="19">
        <v>94537</v>
      </c>
      <c r="N9" s="15">
        <v>3890.184816</v>
      </c>
      <c r="O9" s="24">
        <v>4274.5393809999996</v>
      </c>
    </row>
    <row r="10" spans="1:17" s="51" customFormat="1" ht="13.35" customHeight="1">
      <c r="A10" s="49"/>
      <c r="B10" s="16" t="s">
        <v>25</v>
      </c>
      <c r="C10" s="16" t="s">
        <v>49</v>
      </c>
      <c r="D10" s="19">
        <v>135485</v>
      </c>
      <c r="E10" s="15">
        <v>6675.7648159999999</v>
      </c>
      <c r="F10" s="15">
        <v>7508.1079259999997</v>
      </c>
      <c r="G10" s="19">
        <v>124421</v>
      </c>
      <c r="H10" s="15">
        <v>6221.6409009999998</v>
      </c>
      <c r="I10" s="15">
        <v>6889.9275349999998</v>
      </c>
      <c r="J10" s="19">
        <v>146384</v>
      </c>
      <c r="K10" s="15">
        <v>7464.0907559999996</v>
      </c>
      <c r="L10" s="15">
        <v>8088.0098129999997</v>
      </c>
      <c r="M10" s="19">
        <v>133757</v>
      </c>
      <c r="N10" s="15">
        <v>6867.8305469999996</v>
      </c>
      <c r="O10" s="24">
        <v>7430.0886529999998</v>
      </c>
    </row>
    <row r="11" spans="1:17" s="1" customFormat="1" ht="13.35" customHeight="1">
      <c r="A11" s="26"/>
      <c r="B11" s="16" t="s">
        <v>26</v>
      </c>
      <c r="C11" s="16" t="s">
        <v>50</v>
      </c>
      <c r="D11" s="19">
        <v>153920</v>
      </c>
      <c r="E11" s="15">
        <v>9045.190364</v>
      </c>
      <c r="F11" s="15">
        <v>10019.062161</v>
      </c>
      <c r="G11" s="19">
        <v>161275</v>
      </c>
      <c r="H11" s="15">
        <v>9499.8752270000005</v>
      </c>
      <c r="I11" s="15">
        <v>10513.552947</v>
      </c>
      <c r="J11" s="19">
        <v>149970</v>
      </c>
      <c r="K11" s="15">
        <v>8905.4985199999992</v>
      </c>
      <c r="L11" s="15">
        <v>9784.5736899999993</v>
      </c>
      <c r="M11" s="19">
        <v>133473</v>
      </c>
      <c r="N11" s="15">
        <v>7957.0507969999999</v>
      </c>
      <c r="O11" s="24">
        <v>8687.5423420000006</v>
      </c>
    </row>
    <row r="12" spans="1:17" s="1" customFormat="1" ht="13.35" customHeight="1">
      <c r="A12" s="26"/>
      <c r="B12" s="16" t="s">
        <v>27</v>
      </c>
      <c r="C12" s="16" t="s">
        <v>51</v>
      </c>
      <c r="D12" s="19">
        <v>163888</v>
      </c>
      <c r="E12" s="15">
        <v>11126.845445999999</v>
      </c>
      <c r="F12" s="15">
        <v>12296.124301</v>
      </c>
      <c r="G12" s="19">
        <v>171484</v>
      </c>
      <c r="H12" s="15">
        <v>11645.73964</v>
      </c>
      <c r="I12" s="15">
        <v>12863.413203</v>
      </c>
      <c r="J12" s="19">
        <v>192876</v>
      </c>
      <c r="K12" s="15">
        <v>13105.622398</v>
      </c>
      <c r="L12" s="15">
        <v>14448.573594</v>
      </c>
      <c r="M12" s="19">
        <v>151288</v>
      </c>
      <c r="N12" s="15">
        <v>10319.297414999999</v>
      </c>
      <c r="O12" s="24">
        <v>11363.747104</v>
      </c>
    </row>
    <row r="13" spans="1:17" s="1" customFormat="1" ht="13.35" customHeight="1">
      <c r="A13" s="26"/>
      <c r="B13" s="27" t="s">
        <v>28</v>
      </c>
      <c r="C13" s="27" t="s">
        <v>52</v>
      </c>
      <c r="D13" s="19">
        <v>162634</v>
      </c>
      <c r="E13" s="15">
        <v>12537.143733000001</v>
      </c>
      <c r="F13" s="15">
        <v>13835.292792</v>
      </c>
      <c r="G13" s="19">
        <v>167919</v>
      </c>
      <c r="H13" s="15">
        <v>12946.034922999999</v>
      </c>
      <c r="I13" s="15">
        <v>14284.793680999999</v>
      </c>
      <c r="J13" s="19">
        <v>184255</v>
      </c>
      <c r="K13" s="15">
        <v>14195.778184999999</v>
      </c>
      <c r="L13" s="15">
        <v>15656.539035</v>
      </c>
      <c r="M13" s="19">
        <v>165484</v>
      </c>
      <c r="N13" s="15">
        <v>12591.214993</v>
      </c>
      <c r="O13" s="24">
        <v>14073.920174000001</v>
      </c>
    </row>
    <row r="14" spans="1:17" s="1" customFormat="1" ht="13.35" customHeight="1">
      <c r="A14" s="26"/>
      <c r="B14" s="27" t="s">
        <v>29</v>
      </c>
      <c r="C14" s="27" t="s">
        <v>53</v>
      </c>
      <c r="D14" s="19">
        <v>174768</v>
      </c>
      <c r="E14" s="15">
        <v>15063.223806</v>
      </c>
      <c r="F14" s="15">
        <v>16624.456836000001</v>
      </c>
      <c r="G14" s="19">
        <v>165219</v>
      </c>
      <c r="H14" s="15">
        <v>14233.698503</v>
      </c>
      <c r="I14" s="15">
        <v>15702.592744</v>
      </c>
      <c r="J14" s="19">
        <v>172576</v>
      </c>
      <c r="K14" s="15">
        <v>14889.459322000001</v>
      </c>
      <c r="L14" s="15">
        <v>16415.547772999998</v>
      </c>
      <c r="M14" s="19">
        <v>166927</v>
      </c>
      <c r="N14" s="15">
        <v>13902.159234999999</v>
      </c>
      <c r="O14" s="24">
        <v>15859.772145000001</v>
      </c>
    </row>
    <row r="15" spans="1:17" customFormat="1" ht="13.35" customHeight="1">
      <c r="A15" s="26"/>
      <c r="B15" s="27" t="s">
        <v>30</v>
      </c>
      <c r="C15" s="27" t="s">
        <v>54</v>
      </c>
      <c r="D15" s="19">
        <v>177516</v>
      </c>
      <c r="E15" s="15">
        <v>16858.973731999999</v>
      </c>
      <c r="F15" s="15">
        <v>18634.756442000002</v>
      </c>
      <c r="G15" s="19">
        <v>172764</v>
      </c>
      <c r="H15" s="15">
        <v>16495.419270999999</v>
      </c>
      <c r="I15" s="15">
        <v>18159.799773999999</v>
      </c>
      <c r="J15" s="19">
        <v>169643</v>
      </c>
      <c r="K15" s="15">
        <v>16148.61311</v>
      </c>
      <c r="L15" s="15">
        <v>17805.944552000001</v>
      </c>
      <c r="M15" s="19">
        <v>156811</v>
      </c>
      <c r="N15" s="15">
        <v>14364.598927999999</v>
      </c>
      <c r="O15" s="24">
        <v>16468.449051</v>
      </c>
    </row>
    <row r="16" spans="1:17" customFormat="1" ht="13.35" customHeight="1">
      <c r="A16" s="26"/>
      <c r="B16" s="27" t="s">
        <v>31</v>
      </c>
      <c r="C16" s="27" t="s">
        <v>55</v>
      </c>
      <c r="D16" s="19">
        <v>184898</v>
      </c>
      <c r="E16" s="15">
        <v>19323.281762999999</v>
      </c>
      <c r="F16" s="15">
        <v>21305.181161</v>
      </c>
      <c r="G16" s="19">
        <v>189742</v>
      </c>
      <c r="H16" s="15">
        <v>19836.515565999998</v>
      </c>
      <c r="I16" s="15">
        <v>21843.144520000002</v>
      </c>
      <c r="J16" s="19">
        <v>175674</v>
      </c>
      <c r="K16" s="15">
        <v>18384.612785000001</v>
      </c>
      <c r="L16" s="15">
        <v>20246.492818999999</v>
      </c>
      <c r="M16" s="19">
        <v>154241</v>
      </c>
      <c r="N16" s="15">
        <v>15519.99677</v>
      </c>
      <c r="O16" s="24">
        <v>17757.678479999999</v>
      </c>
    </row>
    <row r="17" spans="1:15" customFormat="1" ht="13.35" customHeight="1">
      <c r="A17" s="26"/>
      <c r="B17" s="27" t="s">
        <v>32</v>
      </c>
      <c r="C17" s="27" t="s">
        <v>56</v>
      </c>
      <c r="D17" s="19">
        <v>216043</v>
      </c>
      <c r="E17" s="15">
        <v>24503.952052000001</v>
      </c>
      <c r="F17" s="15">
        <v>27004.380902000001</v>
      </c>
      <c r="G17" s="19">
        <v>175443</v>
      </c>
      <c r="H17" s="15">
        <v>19986.947569</v>
      </c>
      <c r="I17" s="15">
        <v>21917.925458999998</v>
      </c>
      <c r="J17" s="19">
        <v>177567</v>
      </c>
      <c r="K17" s="15">
        <v>20199.523877</v>
      </c>
      <c r="L17" s="15">
        <v>22196.189825000001</v>
      </c>
      <c r="M17" s="19">
        <v>145274</v>
      </c>
      <c r="N17" s="15">
        <v>15868.0972</v>
      </c>
      <c r="O17" s="24">
        <v>18161.062985</v>
      </c>
    </row>
    <row r="18" spans="1:15" customFormat="1" ht="13.35" customHeight="1">
      <c r="A18" s="26"/>
      <c r="B18" s="27" t="s">
        <v>33</v>
      </c>
      <c r="C18" s="27" t="s">
        <v>57</v>
      </c>
      <c r="D18" s="19">
        <v>178369</v>
      </c>
      <c r="E18" s="15">
        <v>21800.469701999999</v>
      </c>
      <c r="F18" s="15">
        <v>24035.489007</v>
      </c>
      <c r="G18" s="19">
        <v>168106</v>
      </c>
      <c r="H18" s="15">
        <v>20704.103518</v>
      </c>
      <c r="I18" s="15">
        <v>22715.748180999999</v>
      </c>
      <c r="J18" s="19">
        <v>165535</v>
      </c>
      <c r="K18" s="15">
        <v>20320.158045</v>
      </c>
      <c r="L18" s="15">
        <v>22336.793202000001</v>
      </c>
      <c r="M18" s="19">
        <v>141994</v>
      </c>
      <c r="N18" s="15">
        <v>16793.914264999999</v>
      </c>
      <c r="O18" s="24">
        <v>19172.530704000001</v>
      </c>
    </row>
    <row r="19" spans="1:15" customFormat="1" ht="13.35" customHeight="1">
      <c r="A19" s="26"/>
      <c r="B19" s="27" t="s">
        <v>34</v>
      </c>
      <c r="C19" s="27" t="s">
        <v>58</v>
      </c>
      <c r="D19" s="19">
        <v>156788</v>
      </c>
      <c r="E19" s="15">
        <v>20638.855201999999</v>
      </c>
      <c r="F19" s="15">
        <v>22746.699908999999</v>
      </c>
      <c r="G19" s="19">
        <v>205858</v>
      </c>
      <c r="H19" s="15">
        <v>27084.788</v>
      </c>
      <c r="I19" s="15">
        <v>29855.370288999999</v>
      </c>
      <c r="J19" s="19">
        <v>152632</v>
      </c>
      <c r="K19" s="15">
        <v>20100.331793000001</v>
      </c>
      <c r="L19" s="15">
        <v>22116.803467000002</v>
      </c>
      <c r="M19" s="19">
        <v>149349</v>
      </c>
      <c r="N19" s="15">
        <v>18908.255491</v>
      </c>
      <c r="O19" s="24">
        <v>21681.208996000001</v>
      </c>
    </row>
    <row r="20" spans="1:15" customFormat="1" ht="13.35" customHeight="1">
      <c r="A20" s="26"/>
      <c r="B20" s="27" t="s">
        <v>35</v>
      </c>
      <c r="C20" s="87" t="s">
        <v>59</v>
      </c>
      <c r="D20" s="19">
        <v>605655</v>
      </c>
      <c r="E20" s="15">
        <v>94270.831902999998</v>
      </c>
      <c r="F20" s="15">
        <v>104057.081401</v>
      </c>
      <c r="G20" s="19">
        <v>675919</v>
      </c>
      <c r="H20" s="15">
        <v>106064.82621699999</v>
      </c>
      <c r="I20" s="15">
        <v>116906.55947399999</v>
      </c>
      <c r="J20" s="19">
        <v>707385</v>
      </c>
      <c r="K20" s="15">
        <v>111376.75414800001</v>
      </c>
      <c r="L20" s="15">
        <v>122869.058317</v>
      </c>
      <c r="M20" s="19">
        <v>675076</v>
      </c>
      <c r="N20" s="15">
        <v>102855.42303799999</v>
      </c>
      <c r="O20" s="24">
        <v>117563.02306599999</v>
      </c>
    </row>
    <row r="21" spans="1:15" customFormat="1" ht="13.35" customHeight="1">
      <c r="A21" s="26"/>
      <c r="B21" s="27" t="s">
        <v>36</v>
      </c>
      <c r="C21" s="27" t="s">
        <v>60</v>
      </c>
      <c r="D21" s="19">
        <v>505601</v>
      </c>
      <c r="E21" s="15">
        <v>110541.71881799999</v>
      </c>
      <c r="F21" s="15">
        <v>122795.67245300001</v>
      </c>
      <c r="G21" s="19">
        <v>623155</v>
      </c>
      <c r="H21" s="15">
        <v>136353.23243900001</v>
      </c>
      <c r="I21" s="15">
        <v>150881.46230700001</v>
      </c>
      <c r="J21" s="19">
        <v>723610</v>
      </c>
      <c r="K21" s="15">
        <v>157391.06450099999</v>
      </c>
      <c r="L21" s="15">
        <v>174303.61637100001</v>
      </c>
      <c r="M21" s="19">
        <v>846385</v>
      </c>
      <c r="N21" s="15">
        <v>179089.80025</v>
      </c>
      <c r="O21" s="24">
        <v>205157.30375200001</v>
      </c>
    </row>
    <row r="22" spans="1:15" customFormat="1" ht="13.35" customHeight="1">
      <c r="A22" s="26"/>
      <c r="B22" s="27" t="s">
        <v>37</v>
      </c>
      <c r="C22" s="27" t="s">
        <v>61</v>
      </c>
      <c r="D22" s="19">
        <v>234772</v>
      </c>
      <c r="E22" s="15">
        <v>72082.695974000002</v>
      </c>
      <c r="F22" s="15">
        <v>80826.432780000003</v>
      </c>
      <c r="G22" s="19">
        <v>284632</v>
      </c>
      <c r="H22" s="15">
        <v>87912.965161999993</v>
      </c>
      <c r="I22" s="15">
        <v>98115.597764000006</v>
      </c>
      <c r="J22" s="19">
        <v>307985</v>
      </c>
      <c r="K22" s="15">
        <v>95122.112628000003</v>
      </c>
      <c r="L22" s="15">
        <v>106118.390384</v>
      </c>
      <c r="M22" s="19">
        <v>351768</v>
      </c>
      <c r="N22" s="15">
        <v>107024.62519000001</v>
      </c>
      <c r="O22" s="24">
        <v>121259.368603</v>
      </c>
    </row>
    <row r="23" spans="1:15" customFormat="1" ht="13.35" customHeight="1">
      <c r="A23" s="26"/>
      <c r="B23" s="27" t="s">
        <v>38</v>
      </c>
      <c r="C23" s="27" t="s">
        <v>62</v>
      </c>
      <c r="D23" s="19">
        <v>125914</v>
      </c>
      <c r="E23" s="15">
        <v>49954.873205999997</v>
      </c>
      <c r="F23" s="15">
        <v>56124.629364</v>
      </c>
      <c r="G23" s="19">
        <v>151515</v>
      </c>
      <c r="H23" s="15">
        <v>60175.532376000003</v>
      </c>
      <c r="I23" s="15">
        <v>67476.562453000006</v>
      </c>
      <c r="J23" s="19">
        <v>162869</v>
      </c>
      <c r="K23" s="15">
        <v>64562.559111000002</v>
      </c>
      <c r="L23" s="15">
        <v>72489.063915000006</v>
      </c>
      <c r="M23" s="19">
        <v>193503</v>
      </c>
      <c r="N23" s="15">
        <v>76087.206105999998</v>
      </c>
      <c r="O23" s="24">
        <v>86098.440570000006</v>
      </c>
    </row>
    <row r="24" spans="1:15" customFormat="1" ht="13.35" customHeight="1">
      <c r="A24" s="26"/>
      <c r="B24" s="27" t="s">
        <v>39</v>
      </c>
      <c r="C24" s="27" t="s">
        <v>63</v>
      </c>
      <c r="D24" s="19">
        <v>135704</v>
      </c>
      <c r="E24" s="15">
        <v>72952.138850000003</v>
      </c>
      <c r="F24" s="15">
        <v>81436.635532999993</v>
      </c>
      <c r="G24" s="19">
        <v>169919</v>
      </c>
      <c r="H24" s="15">
        <v>91033.653246999995</v>
      </c>
      <c r="I24" s="15">
        <v>102031.83356699999</v>
      </c>
      <c r="J24" s="19">
        <v>182743</v>
      </c>
      <c r="K24" s="15">
        <v>98052.268003000005</v>
      </c>
      <c r="L24" s="15">
        <v>110076.234572</v>
      </c>
      <c r="M24" s="19">
        <v>208437</v>
      </c>
      <c r="N24" s="15">
        <v>111401.376114</v>
      </c>
      <c r="O24" s="24">
        <v>125624.78070600001</v>
      </c>
    </row>
    <row r="25" spans="1:15" customFormat="1" ht="13.35" customHeight="1">
      <c r="A25" s="26"/>
      <c r="B25" s="27" t="s">
        <v>40</v>
      </c>
      <c r="C25" s="27" t="s">
        <v>64</v>
      </c>
      <c r="D25" s="19">
        <v>45219</v>
      </c>
      <c r="E25" s="15">
        <v>35303.297124999997</v>
      </c>
      <c r="F25" s="15">
        <v>38716.459216000003</v>
      </c>
      <c r="G25" s="19">
        <v>57973</v>
      </c>
      <c r="H25" s="15">
        <v>44959.317791000001</v>
      </c>
      <c r="I25" s="15">
        <v>49644.755958000002</v>
      </c>
      <c r="J25" s="19">
        <v>61742</v>
      </c>
      <c r="K25" s="15">
        <v>47503.198462</v>
      </c>
      <c r="L25" s="15">
        <v>52811.274537999998</v>
      </c>
      <c r="M25" s="19">
        <v>73299</v>
      </c>
      <c r="N25" s="15">
        <v>56153.568621999999</v>
      </c>
      <c r="O25" s="24">
        <v>62671.365124000004</v>
      </c>
    </row>
    <row r="26" spans="1:15" customFormat="1" ht="13.35" customHeight="1">
      <c r="A26" s="26"/>
      <c r="B26" s="27" t="s">
        <v>41</v>
      </c>
      <c r="C26" s="27" t="s">
        <v>65</v>
      </c>
      <c r="D26" s="19">
        <v>41336</v>
      </c>
      <c r="E26" s="15">
        <v>51142.385224999998</v>
      </c>
      <c r="F26" s="15">
        <v>54900.315045000003</v>
      </c>
      <c r="G26" s="19">
        <v>51485</v>
      </c>
      <c r="H26" s="15">
        <v>63164.119396000002</v>
      </c>
      <c r="I26" s="15">
        <v>68300.881632000004</v>
      </c>
      <c r="J26" s="19">
        <v>51910</v>
      </c>
      <c r="K26" s="15">
        <v>62952.507383999997</v>
      </c>
      <c r="L26" s="15">
        <v>68562.288006000002</v>
      </c>
      <c r="M26" s="19">
        <v>60986</v>
      </c>
      <c r="N26" s="15">
        <v>73729.201239000002</v>
      </c>
      <c r="O26" s="24">
        <v>80498.509133</v>
      </c>
    </row>
    <row r="27" spans="1:15" customFormat="1" ht="13.35" customHeight="1">
      <c r="A27" s="26"/>
      <c r="B27" s="27" t="s">
        <v>42</v>
      </c>
      <c r="C27" s="27" t="s">
        <v>66</v>
      </c>
      <c r="D27" s="19">
        <v>11510</v>
      </c>
      <c r="E27" s="15">
        <v>31480.003672999999</v>
      </c>
      <c r="F27" s="15">
        <v>32927.312851000002</v>
      </c>
      <c r="G27" s="19">
        <v>13232</v>
      </c>
      <c r="H27" s="15">
        <v>35927.689354000002</v>
      </c>
      <c r="I27" s="15">
        <v>37759.316852000004</v>
      </c>
      <c r="J27" s="19">
        <v>12732</v>
      </c>
      <c r="K27" s="15">
        <v>34156.977374000002</v>
      </c>
      <c r="L27" s="15">
        <v>36063.025844000003</v>
      </c>
      <c r="M27" s="19">
        <v>14651</v>
      </c>
      <c r="N27" s="15">
        <v>39395.633978999998</v>
      </c>
      <c r="O27" s="24">
        <v>41572.938223999998</v>
      </c>
    </row>
    <row r="28" spans="1:15" customFormat="1" ht="13.35" customHeight="1">
      <c r="A28" s="26"/>
      <c r="B28" s="27" t="s">
        <v>43</v>
      </c>
      <c r="C28" s="27" t="s">
        <v>67</v>
      </c>
      <c r="D28" s="19">
        <v>2377</v>
      </c>
      <c r="E28" s="15">
        <v>24288.599815000001</v>
      </c>
      <c r="F28" s="15">
        <v>24927.596643000001</v>
      </c>
      <c r="G28" s="19">
        <v>2399</v>
      </c>
      <c r="H28" s="15">
        <v>21901.134217999999</v>
      </c>
      <c r="I28" s="15">
        <v>22652.536819000001</v>
      </c>
      <c r="J28" s="19">
        <v>2073</v>
      </c>
      <c r="K28" s="15">
        <v>18793.230054</v>
      </c>
      <c r="L28" s="15">
        <v>19526.670785999999</v>
      </c>
      <c r="M28" s="19">
        <v>2263</v>
      </c>
      <c r="N28" s="15">
        <v>19056.306627000002</v>
      </c>
      <c r="O28" s="24">
        <v>19635.652341000001</v>
      </c>
    </row>
    <row r="29" spans="1:15" customFormat="1" ht="13.35" customHeight="1">
      <c r="A29" s="88"/>
      <c r="B29" s="75" t="s">
        <v>9</v>
      </c>
      <c r="C29" s="89"/>
      <c r="D29" s="20">
        <f t="shared" ref="D29:O29" si="0">SUM(D4:D28)</f>
        <v>4123231</v>
      </c>
      <c r="E29" s="18">
        <f>SUM(E4:E28)</f>
        <v>692570.49087600003</v>
      </c>
      <c r="F29" s="18">
        <f t="shared" si="0"/>
        <v>765937.26672000019</v>
      </c>
      <c r="G29" s="20">
        <f t="shared" si="0"/>
        <v>4420407</v>
      </c>
      <c r="H29" s="18">
        <f t="shared" si="0"/>
        <v>796819.29525199998</v>
      </c>
      <c r="I29" s="18">
        <f t="shared" si="0"/>
        <v>881320.62313399999</v>
      </c>
      <c r="J29" s="20">
        <f t="shared" si="0"/>
        <v>4584519</v>
      </c>
      <c r="K29" s="18">
        <f t="shared" si="0"/>
        <v>830156.54103700013</v>
      </c>
      <c r="L29" s="18">
        <f t="shared" si="0"/>
        <v>923445.38599900005</v>
      </c>
      <c r="M29" s="20">
        <f t="shared" si="0"/>
        <v>4522692</v>
      </c>
      <c r="N29" s="18">
        <f t="shared" si="0"/>
        <v>885241.04371600004</v>
      </c>
      <c r="O29" s="25">
        <f t="shared" si="0"/>
        <v>1000209.0580400001</v>
      </c>
    </row>
    <row r="30" spans="1:15" customFormat="1" ht="13.35" customHeight="1">
      <c r="A30" s="26"/>
      <c r="B30" s="27"/>
      <c r="C30" s="16" t="s">
        <v>273</v>
      </c>
      <c r="D30" s="19">
        <f t="shared" ref="D30:O30" si="1">SUM(D4:D5)</f>
        <v>274585</v>
      </c>
      <c r="E30" s="15">
        <f t="shared" si="1"/>
        <v>-18016.953556</v>
      </c>
      <c r="F30" s="15">
        <f t="shared" si="1"/>
        <v>-17125.282307000001</v>
      </c>
      <c r="G30" s="19">
        <f t="shared" si="1"/>
        <v>263223</v>
      </c>
      <c r="H30" s="15">
        <f t="shared" si="1"/>
        <v>-19992.709154</v>
      </c>
      <c r="I30" s="15">
        <f t="shared" si="1"/>
        <v>-19150.585482999999</v>
      </c>
      <c r="J30" s="19">
        <f t="shared" si="1"/>
        <v>262345</v>
      </c>
      <c r="K30" s="15">
        <f t="shared" si="1"/>
        <v>-20493.083973000001</v>
      </c>
      <c r="L30" s="15">
        <f t="shared" si="1"/>
        <v>-19607.054177999999</v>
      </c>
      <c r="M30" s="19">
        <f t="shared" si="1"/>
        <v>189316</v>
      </c>
      <c r="N30" s="15">
        <f t="shared" si="1"/>
        <v>-22136.085867999998</v>
      </c>
      <c r="O30" s="24">
        <f t="shared" si="1"/>
        <v>-21237.746469999998</v>
      </c>
    </row>
    <row r="31" spans="1:15" customFormat="1" ht="13.35" customHeight="1">
      <c r="A31" s="26"/>
      <c r="B31" s="27"/>
      <c r="C31" s="16" t="s">
        <v>274</v>
      </c>
      <c r="D31" s="19">
        <f t="shared" ref="D31:O31" si="2">SUM(D6:D10)</f>
        <v>571734</v>
      </c>
      <c r="E31" s="15">
        <f t="shared" si="2"/>
        <v>17672.964043</v>
      </c>
      <c r="F31" s="15">
        <f t="shared" si="2"/>
        <v>19848.970229999999</v>
      </c>
      <c r="G31" s="19">
        <f t="shared" si="2"/>
        <v>549145</v>
      </c>
      <c r="H31" s="15">
        <f t="shared" si="2"/>
        <v>16886.411989</v>
      </c>
      <c r="I31" s="15">
        <f t="shared" si="2"/>
        <v>18845.360992999998</v>
      </c>
      <c r="J31" s="19">
        <f t="shared" si="2"/>
        <v>568397</v>
      </c>
      <c r="K31" s="15">
        <f t="shared" si="2"/>
        <v>14489.355309999999</v>
      </c>
      <c r="L31" s="15">
        <f t="shared" si="2"/>
        <v>19225.359487000002</v>
      </c>
      <c r="M31" s="19">
        <f t="shared" si="2"/>
        <v>542167</v>
      </c>
      <c r="N31" s="15">
        <f t="shared" si="2"/>
        <v>16359.403325000001</v>
      </c>
      <c r="O31" s="24">
        <f t="shared" si="2"/>
        <v>18139.511009999998</v>
      </c>
    </row>
    <row r="32" spans="1:15" customFormat="1" ht="13.35" customHeight="1">
      <c r="A32" s="26"/>
      <c r="B32" s="27"/>
      <c r="C32" s="16" t="s">
        <v>275</v>
      </c>
      <c r="D32" s="19">
        <f t="shared" ref="D32:O32" si="3">SUM(D11:D16)</f>
        <v>1017624</v>
      </c>
      <c r="E32" s="15">
        <f t="shared" si="3"/>
        <v>83954.65884399999</v>
      </c>
      <c r="F32" s="15">
        <f t="shared" si="3"/>
        <v>92714.873693000001</v>
      </c>
      <c r="G32" s="19">
        <f t="shared" si="3"/>
        <v>1028403</v>
      </c>
      <c r="H32" s="15">
        <f t="shared" si="3"/>
        <v>84657.283129999996</v>
      </c>
      <c r="I32" s="15">
        <f t="shared" si="3"/>
        <v>93367.296869000013</v>
      </c>
      <c r="J32" s="19">
        <f t="shared" si="3"/>
        <v>1044994</v>
      </c>
      <c r="K32" s="15">
        <f t="shared" si="3"/>
        <v>85629.584320000009</v>
      </c>
      <c r="L32" s="15">
        <f t="shared" si="3"/>
        <v>94357.671463000006</v>
      </c>
      <c r="M32" s="19">
        <f t="shared" si="3"/>
        <v>928224</v>
      </c>
      <c r="N32" s="15">
        <f t="shared" si="3"/>
        <v>74654.318138000002</v>
      </c>
      <c r="O32" s="24">
        <f t="shared" si="3"/>
        <v>84211.10929600001</v>
      </c>
    </row>
    <row r="33" spans="1:15" customFormat="1" ht="13.35" customHeight="1">
      <c r="A33" s="26"/>
      <c r="B33" s="27"/>
      <c r="C33" s="27" t="s">
        <v>276</v>
      </c>
      <c r="D33" s="19">
        <f t="shared" ref="D33:O33" si="4">SUM(D17:D22)</f>
        <v>1897228</v>
      </c>
      <c r="E33" s="15">
        <f t="shared" si="4"/>
        <v>343838.523651</v>
      </c>
      <c r="F33" s="15">
        <f t="shared" si="4"/>
        <v>381465.756452</v>
      </c>
      <c r="G33" s="19">
        <f t="shared" si="4"/>
        <v>2133113</v>
      </c>
      <c r="H33" s="15">
        <f t="shared" si="4"/>
        <v>398106.86290499999</v>
      </c>
      <c r="I33" s="15">
        <f t="shared" si="4"/>
        <v>440392.663474</v>
      </c>
      <c r="J33" s="19">
        <f t="shared" si="4"/>
        <v>2234714</v>
      </c>
      <c r="K33" s="15">
        <f t="shared" si="4"/>
        <v>424509.944992</v>
      </c>
      <c r="L33" s="15">
        <f t="shared" si="4"/>
        <v>469940.85156600003</v>
      </c>
      <c r="M33" s="19">
        <f t="shared" si="4"/>
        <v>2309846</v>
      </c>
      <c r="N33" s="15">
        <f t="shared" si="4"/>
        <v>440540.11543399998</v>
      </c>
      <c r="O33" s="24">
        <f t="shared" si="4"/>
        <v>502994.49810600001</v>
      </c>
    </row>
    <row r="34" spans="1:15" customFormat="1" ht="13.35" customHeight="1">
      <c r="A34" s="26"/>
      <c r="B34" s="27"/>
      <c r="C34" s="246" t="s">
        <v>515</v>
      </c>
      <c r="D34" s="19">
        <f t="shared" ref="D34:O34" si="5">SUM(D23:D28)</f>
        <v>362060</v>
      </c>
      <c r="E34" s="15">
        <f t="shared" si="5"/>
        <v>265121.29789400002</v>
      </c>
      <c r="F34" s="15">
        <f t="shared" si="5"/>
        <v>289032.94865199999</v>
      </c>
      <c r="G34" s="19">
        <f t="shared" si="5"/>
        <v>446523</v>
      </c>
      <c r="H34" s="15">
        <f t="shared" si="5"/>
        <v>317161.44638199999</v>
      </c>
      <c r="I34" s="15">
        <f t="shared" si="5"/>
        <v>347865.88728100003</v>
      </c>
      <c r="J34" s="19">
        <f t="shared" si="5"/>
        <v>474069</v>
      </c>
      <c r="K34" s="15">
        <f t="shared" si="5"/>
        <v>326020.74038799998</v>
      </c>
      <c r="L34" s="15">
        <f t="shared" si="5"/>
        <v>359528.55766099994</v>
      </c>
      <c r="M34" s="19">
        <f t="shared" si="5"/>
        <v>553139</v>
      </c>
      <c r="N34" s="15">
        <f t="shared" si="5"/>
        <v>375823.29268699995</v>
      </c>
      <c r="O34" s="24">
        <f t="shared" si="5"/>
        <v>416101.68609799998</v>
      </c>
    </row>
    <row r="35" spans="1:15" customFormat="1" ht="12" customHeight="1">
      <c r="A35" s="88"/>
      <c r="B35" s="75" t="s">
        <v>9</v>
      </c>
      <c r="C35" s="89"/>
      <c r="D35" s="20">
        <f t="shared" ref="D35:O35" si="6">SUM(D30:D34)</f>
        <v>4123231</v>
      </c>
      <c r="E35" s="18">
        <f t="shared" si="6"/>
        <v>692570.49087599991</v>
      </c>
      <c r="F35" s="18">
        <f t="shared" si="6"/>
        <v>765937.26671999996</v>
      </c>
      <c r="G35" s="20">
        <f t="shared" si="6"/>
        <v>4420407</v>
      </c>
      <c r="H35" s="18">
        <f t="shared" si="6"/>
        <v>796819.29525199998</v>
      </c>
      <c r="I35" s="18">
        <f t="shared" si="6"/>
        <v>881320.62313400011</v>
      </c>
      <c r="J35" s="20">
        <f t="shared" si="6"/>
        <v>4584519</v>
      </c>
      <c r="K35" s="18">
        <f t="shared" si="6"/>
        <v>830156.54103700002</v>
      </c>
      <c r="L35" s="18">
        <f t="shared" si="6"/>
        <v>923445.38599899993</v>
      </c>
      <c r="M35" s="20">
        <f t="shared" si="6"/>
        <v>4522692</v>
      </c>
      <c r="N35" s="18">
        <f t="shared" si="6"/>
        <v>885241.04371599993</v>
      </c>
      <c r="O35" s="25">
        <f t="shared" si="6"/>
        <v>1000209.05804</v>
      </c>
    </row>
    <row r="36" spans="1:15" customFormat="1" ht="13.35" customHeight="1">
      <c r="A36" s="1"/>
      <c r="B36" s="29"/>
      <c r="C36" s="1"/>
      <c r="D36" s="1"/>
      <c r="E36" s="1"/>
      <c r="F36" s="1"/>
      <c r="G36" s="1"/>
      <c r="H36" s="1"/>
      <c r="I36" s="1"/>
      <c r="J36" s="1"/>
      <c r="K36" s="1"/>
      <c r="L36" s="1"/>
      <c r="M36" s="1"/>
      <c r="N36" s="1"/>
      <c r="O36" s="1"/>
    </row>
    <row r="37" spans="1:15" customFormat="1" ht="13.35" customHeight="1">
      <c r="H37" s="560" t="s">
        <v>506</v>
      </c>
      <c r="I37" s="6"/>
    </row>
    <row r="38" spans="1:15" customFormat="1" ht="13.35" customHeight="1">
      <c r="H38" s="6"/>
      <c r="I38" s="6"/>
    </row>
    <row r="39" spans="1:15" customFormat="1" ht="13.35" customHeight="1">
      <c r="H39" s="6"/>
      <c r="I39" s="6"/>
    </row>
    <row r="40" spans="1:15" ht="13.35" customHeight="1">
      <c r="B40"/>
      <c r="C40"/>
      <c r="D40"/>
      <c r="E40"/>
      <c r="F40"/>
      <c r="G40"/>
      <c r="H40" s="1"/>
      <c r="I40"/>
      <c r="J40"/>
      <c r="K40"/>
      <c r="L40"/>
      <c r="M40"/>
      <c r="N40"/>
      <c r="O40"/>
    </row>
    <row r="41" spans="1:15" ht="13.35" customHeight="1">
      <c r="C41" s="650" t="s">
        <v>368</v>
      </c>
      <c r="D41" s="651"/>
      <c r="E41" s="652">
        <f>E35/D35*1000000</f>
        <v>167967.90935943191</v>
      </c>
      <c r="F41" s="652">
        <f>F35/D35*1000000</f>
        <v>185761.42513480326</v>
      </c>
      <c r="G41" s="653"/>
      <c r="H41" s="652">
        <f>H35/G35*1000000</f>
        <v>180259.26012061787</v>
      </c>
      <c r="I41" s="652">
        <f>I35/G35*1000000</f>
        <v>199375.44735903281</v>
      </c>
      <c r="J41" s="653"/>
      <c r="K41" s="652">
        <f>K35/J35*1000000</f>
        <v>181078.22020957925</v>
      </c>
      <c r="L41" s="652">
        <f>L35/J35*1000000</f>
        <v>201426.88600461683</v>
      </c>
      <c r="M41" s="653"/>
      <c r="N41" s="652">
        <f>N35/M35*1000000</f>
        <v>195733.21458016595</v>
      </c>
      <c r="O41" s="597">
        <f>O35/M35*1000000</f>
        <v>221153.47630128253</v>
      </c>
    </row>
    <row r="42" spans="1:15" ht="13.35" customHeight="1">
      <c r="C42" s="605"/>
      <c r="D42" s="606"/>
      <c r="E42" s="606"/>
      <c r="F42" s="654">
        <f>F41/E41</f>
        <v>1.1059340194399592</v>
      </c>
      <c r="G42" s="655"/>
      <c r="H42" s="655"/>
      <c r="I42" s="654">
        <f>I41/H41</f>
        <v>1.106048295247765</v>
      </c>
      <c r="J42" s="655"/>
      <c r="K42" s="655"/>
      <c r="L42" s="654">
        <f>L41/K41</f>
        <v>1.112375004412381</v>
      </c>
      <c r="M42" s="655"/>
      <c r="N42" s="655"/>
      <c r="O42" s="592">
        <f>O41/N41</f>
        <v>1.1298719881326287</v>
      </c>
    </row>
    <row r="43" spans="1:15" ht="13.35" customHeight="1">
      <c r="C43" s="605"/>
      <c r="D43" s="606"/>
      <c r="E43" s="606"/>
      <c r="F43" s="606"/>
      <c r="G43" s="655"/>
      <c r="H43" s="655"/>
      <c r="I43" s="655"/>
      <c r="J43" s="655"/>
      <c r="K43" s="655"/>
      <c r="L43" s="655"/>
      <c r="M43" s="655"/>
      <c r="N43" s="655"/>
      <c r="O43" s="656"/>
    </row>
    <row r="44" spans="1:15" ht="13.35" customHeight="1">
      <c r="C44" s="608"/>
      <c r="D44" s="609"/>
      <c r="E44" s="609"/>
      <c r="F44" s="609"/>
      <c r="G44" s="657"/>
      <c r="H44" s="658">
        <f>H41/E41-1</f>
        <v>7.3176780065077107E-2</v>
      </c>
      <c r="I44" s="658">
        <f>I41/F41-1</f>
        <v>7.3287671077836292E-2</v>
      </c>
      <c r="J44" s="657"/>
      <c r="K44" s="658">
        <f>K41/H41-1</f>
        <v>4.543234496876325E-3</v>
      </c>
      <c r="L44" s="658">
        <f>L41/I41-1</f>
        <v>1.0289324351407281E-2</v>
      </c>
      <c r="M44" s="657"/>
      <c r="N44" s="658">
        <f>N41/K41-1</f>
        <v>8.0931844556595856E-2</v>
      </c>
      <c r="O44" s="594">
        <f>O41/L41-1</f>
        <v>9.7934246455130936E-2</v>
      </c>
    </row>
    <row r="45" spans="1:15" ht="13.35" customHeight="1"/>
    <row r="46" spans="1:15">
      <c r="F46" s="436">
        <f>(F30-E30)/F30</f>
        <v>-5.2067535764682038E-2</v>
      </c>
      <c r="I46" s="436">
        <f>(I30-H30)/I30</f>
        <v>-4.3973781989462175E-2</v>
      </c>
      <c r="L46" s="436">
        <f>(L30-K30)/L30</f>
        <v>-4.5189337824861404E-2</v>
      </c>
      <c r="O46" s="436">
        <f>(O30-N30)/O30</f>
        <v>-4.2299186463543852E-2</v>
      </c>
    </row>
    <row r="47" spans="1:15">
      <c r="F47" s="436">
        <f t="shared" ref="F47:F51" si="7">(F31-E31)/F31</f>
        <v>0.10962816517862242</v>
      </c>
      <c r="I47" s="436">
        <f t="shared" ref="I47:I51" si="8">(I31-H31)/I31</f>
        <v>0.10394860595812618</v>
      </c>
      <c r="L47" s="436">
        <f t="shared" ref="L47:L51" si="9">(L31-K31)/L31</f>
        <v>0.24634151471666585</v>
      </c>
      <c r="O47" s="436">
        <f t="shared" ref="O47:O51" si="10">(O31-N31)/O31</f>
        <v>9.8134270764997727E-2</v>
      </c>
    </row>
    <row r="48" spans="1:15">
      <c r="F48" s="436">
        <f t="shared" si="7"/>
        <v>9.4485539375344152E-2</v>
      </c>
      <c r="I48" s="436">
        <f t="shared" si="8"/>
        <v>9.3287628870959968E-2</v>
      </c>
      <c r="L48" s="436">
        <f t="shared" si="9"/>
        <v>9.2500026841193267E-2</v>
      </c>
      <c r="O48" s="436">
        <f t="shared" si="10"/>
        <v>0.11348610934939853</v>
      </c>
    </row>
    <row r="49" spans="6:15">
      <c r="F49" s="436">
        <f t="shared" si="7"/>
        <v>9.8638559725438044E-2</v>
      </c>
      <c r="I49" s="436">
        <f t="shared" si="8"/>
        <v>9.6018403747764727E-2</v>
      </c>
      <c r="L49" s="436">
        <f t="shared" si="9"/>
        <v>9.6673669510980054E-2</v>
      </c>
      <c r="O49" s="436">
        <f t="shared" si="10"/>
        <v>0.12416514078616925</v>
      </c>
    </row>
    <row r="50" spans="6:15">
      <c r="F50" s="436">
        <f t="shared" si="7"/>
        <v>8.2729844017852647E-2</v>
      </c>
      <c r="I50" s="436">
        <f t="shared" si="8"/>
        <v>8.8265167760463739E-2</v>
      </c>
      <c r="L50" s="436">
        <f t="shared" si="9"/>
        <v>9.3199320496244256E-2</v>
      </c>
      <c r="O50" s="436">
        <f t="shared" si="10"/>
        <v>9.6799399658077059E-2</v>
      </c>
    </row>
    <row r="51" spans="6:15">
      <c r="F51" s="436">
        <f t="shared" si="7"/>
        <v>9.5786925420382224E-2</v>
      </c>
      <c r="I51" s="436">
        <f t="shared" si="8"/>
        <v>9.5880347814296121E-2</v>
      </c>
      <c r="L51" s="436">
        <f t="shared" si="9"/>
        <v>0.10102259037341808</v>
      </c>
      <c r="O51" s="436">
        <f t="shared" si="10"/>
        <v>0.11494398435992002</v>
      </c>
    </row>
  </sheetData>
  <mergeCells count="1">
    <mergeCell ref="B3:C3"/>
  </mergeCells>
  <hyperlinks>
    <hyperlink ref="H37" location="CONTENTS!A1" display="BACK TO CONTENTS"/>
  </hyperlinks>
  <pageMargins left="0.98425196850393704" right="0.98425196850393704" top="0.98425196850393704" bottom="0.98425196850393704" header="0.51181102362204722" footer="0.51181102362204722"/>
  <pageSetup paperSize="9" scale="85" orientation="landscape" r:id="rId1"/>
  <headerFooter alignWithMargins="0"/>
  <ignoredErrors>
    <ignoredError sqref="D30:Q34" formulaRange="1"/>
  </ignoredErrors>
</worksheet>
</file>

<file path=xl/worksheets/sheet21.xml><?xml version="1.0" encoding="utf-8"?>
<worksheet xmlns="http://schemas.openxmlformats.org/spreadsheetml/2006/main" xmlns:r="http://schemas.openxmlformats.org/officeDocument/2006/relationships">
  <sheetPr codeName="Sheet58">
    <pageSetUpPr fitToPage="1"/>
  </sheetPr>
  <dimension ref="A1:O44"/>
  <sheetViews>
    <sheetView showGridLines="0" zoomScaleNormal="100" zoomScaleSheetLayoutView="90" workbookViewId="0">
      <pane xSplit="3" ySplit="3" topLeftCell="D4" activePane="bottomRight" state="frozen"/>
      <selection pane="topRight"/>
      <selection pane="bottomLeft"/>
      <selection pane="bottomRight"/>
    </sheetView>
  </sheetViews>
  <sheetFormatPr defaultColWidth="9.140625" defaultRowHeight="12.75"/>
  <cols>
    <col min="1" max="1" width="0.85546875" customWidth="1"/>
    <col min="2" max="2" width="2.7109375" style="2" customWidth="1"/>
    <col min="3" max="3" width="15.7109375" style="2" customWidth="1"/>
    <col min="4" max="6" width="9.7109375" style="2" customWidth="1"/>
    <col min="7" max="7" width="9.7109375" style="14" customWidth="1"/>
    <col min="8" max="14" width="9.7109375" style="6" customWidth="1"/>
    <col min="15" max="15" width="10" style="6" customWidth="1"/>
    <col min="16" max="16384" width="9.140625" style="10"/>
  </cols>
  <sheetData>
    <row r="1" spans="1:15" s="8" customFormat="1" ht="15" customHeight="1">
      <c r="A1" s="455" t="s">
        <v>509</v>
      </c>
      <c r="B1" s="455"/>
      <c r="C1" s="455"/>
      <c r="D1" s="564"/>
      <c r="E1" s="564"/>
      <c r="F1" s="78"/>
      <c r="G1" s="66"/>
      <c r="H1" s="4"/>
      <c r="I1" s="5"/>
      <c r="J1" s="4"/>
      <c r="K1" s="4"/>
      <c r="L1" s="4"/>
      <c r="M1" s="4"/>
      <c r="N1" s="4"/>
      <c r="O1" s="4"/>
    </row>
    <row r="2" spans="1:15" s="8" customFormat="1" ht="15" customHeight="1">
      <c r="A2" s="90"/>
      <c r="B2" s="91" t="s">
        <v>183</v>
      </c>
      <c r="C2" s="92"/>
      <c r="D2" s="84" t="s">
        <v>463</v>
      </c>
      <c r="E2" s="67"/>
      <c r="F2" s="67"/>
      <c r="G2" s="65" t="s">
        <v>464</v>
      </c>
      <c r="H2" s="67"/>
      <c r="I2" s="67"/>
      <c r="J2" s="65" t="s">
        <v>465</v>
      </c>
      <c r="K2" s="67"/>
      <c r="L2" s="67"/>
      <c r="M2" s="65" t="s">
        <v>466</v>
      </c>
      <c r="N2" s="67"/>
      <c r="O2" s="85"/>
    </row>
    <row r="3" spans="1:15" ht="45">
      <c r="A3" s="80"/>
      <c r="B3" s="706" t="s">
        <v>478</v>
      </c>
      <c r="C3" s="707"/>
      <c r="D3" s="32" t="s">
        <v>18</v>
      </c>
      <c r="E3" s="33" t="s">
        <v>85</v>
      </c>
      <c r="F3" s="33" t="s">
        <v>453</v>
      </c>
      <c r="G3" s="32" t="s">
        <v>18</v>
      </c>
      <c r="H3" s="33" t="s">
        <v>85</v>
      </c>
      <c r="I3" s="33" t="s">
        <v>453</v>
      </c>
      <c r="J3" s="32" t="s">
        <v>18</v>
      </c>
      <c r="K3" s="33" t="s">
        <v>85</v>
      </c>
      <c r="L3" s="33" t="s">
        <v>453</v>
      </c>
      <c r="M3" s="32" t="s">
        <v>18</v>
      </c>
      <c r="N3" s="33" t="s">
        <v>85</v>
      </c>
      <c r="O3" s="86" t="s">
        <v>453</v>
      </c>
    </row>
    <row r="4" spans="1:15" ht="13.35" customHeight="1">
      <c r="A4" s="49"/>
      <c r="B4" s="16" t="s">
        <v>19</v>
      </c>
      <c r="C4" s="16" t="s">
        <v>44</v>
      </c>
      <c r="D4" s="62">
        <f>+A2.1.2!D4/A2.1.2!D$29</f>
        <v>1.5382354275081847E-2</v>
      </c>
      <c r="E4" s="58">
        <f>+A2.1.2!E4/A2.1.2!E$29</f>
        <v>-2.5872005440682466E-2</v>
      </c>
      <c r="F4" s="58">
        <f>+A2.1.2!F4/A2.1.2!F$29</f>
        <v>-2.2358596521012998E-2</v>
      </c>
      <c r="G4" s="62">
        <f>+A2.1.2!G4/A2.1.2!G$29</f>
        <v>1.4255248442055222E-2</v>
      </c>
      <c r="H4" s="58">
        <f>+A2.1.2!H4/A2.1.2!H$29</f>
        <v>-2.4978770071958853E-2</v>
      </c>
      <c r="I4" s="58">
        <f>+A2.1.2!I4/A2.1.2!I$29</f>
        <v>-2.1729419442041421E-2</v>
      </c>
      <c r="J4" s="62">
        <f>+A2.1.2!J4/A2.1.2!J$29</f>
        <v>1.3466625397342665E-2</v>
      </c>
      <c r="K4" s="58">
        <f>+A2.1.2!K4/A2.1.2!K$29</f>
        <v>-2.4544647341508866E-2</v>
      </c>
      <c r="L4" s="58">
        <f>+A2.1.2!L4/A2.1.2!L$29</f>
        <v>-2.12325000214157E-2</v>
      </c>
      <c r="M4" s="62">
        <f>+A2.1.2!M4/A2.1.2!M$29</f>
        <v>1.164837225263184E-2</v>
      </c>
      <c r="N4" s="58">
        <f>+A2.1.2!N4/A2.1.2!N$29</f>
        <v>-2.4886161656629727E-2</v>
      </c>
      <c r="O4" s="59">
        <f>+A2.1.2!O4/A2.1.2!O$29</f>
        <v>-2.123330747635627E-2</v>
      </c>
    </row>
    <row r="5" spans="1:15" s="51" customFormat="1" ht="13.35" customHeight="1">
      <c r="A5" s="49"/>
      <c r="B5" s="16" t="s">
        <v>20</v>
      </c>
      <c r="C5" s="50" t="s">
        <v>137</v>
      </c>
      <c r="D5" s="62">
        <f>+A2.1.2!D5/A2.1.2!D$29</f>
        <v>5.1212265332696613E-2</v>
      </c>
      <c r="E5" s="58">
        <f>+A2.1.2!E5/A2.1.2!E$29</f>
        <v>-1.4260793565587157E-4</v>
      </c>
      <c r="F5" s="58">
        <f>+A2.1.2!F5/A2.1.2!F$29</f>
        <v>0</v>
      </c>
      <c r="G5" s="62">
        <f>+A2.1.2!G5/A2.1.2!G$29</f>
        <v>4.5291983294750912E-2</v>
      </c>
      <c r="H5" s="58">
        <f>+A2.1.2!H5/A2.1.2!H$29</f>
        <v>-1.1187378309131912E-4</v>
      </c>
      <c r="I5" s="58">
        <f>+A2.1.2!I5/A2.1.2!I$29</f>
        <v>0</v>
      </c>
      <c r="J5" s="62">
        <f>+A2.1.2!J5/A2.1.2!J$29</f>
        <v>4.3757480337631931E-2</v>
      </c>
      <c r="K5" s="58">
        <f>+A2.1.2!K5/A2.1.2!K$29</f>
        <v>-1.4115944307758829E-4</v>
      </c>
      <c r="L5" s="58">
        <f>+A2.1.2!L5/A2.1.2!L$29</f>
        <v>0</v>
      </c>
      <c r="M5" s="62">
        <f>+A2.1.2!M5/A2.1.2!M$29</f>
        <v>3.0210768276946562E-2</v>
      </c>
      <c r="N5" s="58">
        <f>+A2.1.2!N5/A2.1.2!N$29</f>
        <v>-1.1955404660829683E-4</v>
      </c>
      <c r="O5" s="59">
        <f>+A2.1.2!O5/A2.1.2!O$29</f>
        <v>0</v>
      </c>
    </row>
    <row r="6" spans="1:15" ht="13.35" customHeight="1">
      <c r="A6" s="49"/>
      <c r="B6" s="16" t="s">
        <v>21</v>
      </c>
      <c r="C6" s="16" t="s">
        <v>45</v>
      </c>
      <c r="D6" s="62">
        <f>+A2.1.2!D6/A2.1.2!D$29</f>
        <v>3.3959775719575258E-2</v>
      </c>
      <c r="E6" s="58">
        <f>+A2.1.2!E6/A2.1.2!E$29</f>
        <v>1.5152759767061662E-3</v>
      </c>
      <c r="F6" s="58">
        <f>+A2.1.2!F6/A2.1.2!F$29</f>
        <v>1.7929504551735382E-3</v>
      </c>
      <c r="G6" s="62">
        <f>+A2.1.2!G6/A2.1.2!G$29</f>
        <v>3.1554560473730134E-2</v>
      </c>
      <c r="H6" s="58">
        <f>+A2.1.2!H6/A2.1.2!H$29</f>
        <v>1.3043312758525868E-3</v>
      </c>
      <c r="I6" s="58">
        <f>+A2.1.2!I6/A2.1.2!I$29</f>
        <v>1.5360216276184577E-3</v>
      </c>
      <c r="J6" s="62">
        <f>+A2.1.2!J6/A2.1.2!J$29</f>
        <v>3.387770887196672E-2</v>
      </c>
      <c r="K6" s="58">
        <f>+A2.1.2!K6/A2.1.2!K$29</f>
        <v>1.4088587346899818E-3</v>
      </c>
      <c r="L6" s="58">
        <f>+A2.1.2!L6/A2.1.2!L$29</f>
        <v>1.6186331456764878E-3</v>
      </c>
      <c r="M6" s="62">
        <f>+A2.1.2!M6/A2.1.2!M$29</f>
        <v>3.3326390565618882E-2</v>
      </c>
      <c r="N6" s="58">
        <f>+A2.1.2!N6/A2.1.2!N$29</f>
        <v>1.319781313003397E-3</v>
      </c>
      <c r="O6" s="59">
        <f>+A2.1.2!O6/A2.1.2!O$29</f>
        <v>1.4858634632966554E-3</v>
      </c>
    </row>
    <row r="7" spans="1:15" ht="13.35" customHeight="1">
      <c r="A7" s="49"/>
      <c r="B7" s="16" t="s">
        <v>22</v>
      </c>
      <c r="C7" s="16" t="s">
        <v>46</v>
      </c>
      <c r="D7" s="62">
        <f>+A2.1.2!D7/A2.1.2!D$29</f>
        <v>1.8022516807814064E-2</v>
      </c>
      <c r="E7" s="58">
        <f>+A2.1.2!E7/A2.1.2!E$29</f>
        <v>2.3743344362247994E-3</v>
      </c>
      <c r="F7" s="58">
        <f>+A2.1.2!F7/A2.1.2!F$29</f>
        <v>2.4489509852844197E-3</v>
      </c>
      <c r="G7" s="62">
        <f>+A2.1.2!G7/A2.1.2!G$29</f>
        <v>1.6534224111037738E-2</v>
      </c>
      <c r="H7" s="58">
        <f>+A2.1.2!H7/A2.1.2!H$29</f>
        <v>2.028331785676526E-3</v>
      </c>
      <c r="I7" s="58">
        <f>+A2.1.2!I7/A2.1.2!I$29</f>
        <v>2.0854877439087736E-3</v>
      </c>
      <c r="J7" s="62">
        <f>+A2.1.2!J7/A2.1.2!J$29</f>
        <v>1.6875052759078978E-2</v>
      </c>
      <c r="K7" s="58">
        <f>+A2.1.2!K7/A2.1.2!K$29</f>
        <v>2.0633466705692752E-3</v>
      </c>
      <c r="L7" s="58">
        <f>+A2.1.2!L7/A2.1.2!L$29</f>
        <v>2.1068257338199606E-3</v>
      </c>
      <c r="M7" s="62">
        <f>+A2.1.2!M7/A2.1.2!M$29</f>
        <v>1.7397381913249896E-2</v>
      </c>
      <c r="N7" s="58">
        <f>+A2.1.2!N7/A2.1.2!N$29</f>
        <v>1.9812604346016722E-3</v>
      </c>
      <c r="O7" s="59">
        <f>+A2.1.2!O7/A2.1.2!O$29</f>
        <v>1.9762865794012317E-3</v>
      </c>
    </row>
    <row r="8" spans="1:15" ht="13.35" customHeight="1">
      <c r="A8" s="49"/>
      <c r="B8" s="16" t="s">
        <v>23</v>
      </c>
      <c r="C8" s="16" t="s">
        <v>47</v>
      </c>
      <c r="D8" s="62">
        <f>+A2.1.2!D8/A2.1.2!D$29</f>
        <v>2.2400879310424275E-2</v>
      </c>
      <c r="E8" s="58">
        <f>+A2.1.2!E8/A2.1.2!E$29</f>
        <v>4.2947644278603127E-3</v>
      </c>
      <c r="F8" s="58">
        <f>+A2.1.2!F8/A2.1.2!F$29</f>
        <v>4.2788070242808342E-3</v>
      </c>
      <c r="G8" s="62">
        <f>+A2.1.2!G8/A2.1.2!G$29</f>
        <v>1.9202304222213022E-2</v>
      </c>
      <c r="H8" s="58">
        <f>+A2.1.2!H8/A2.1.2!H$29</f>
        <v>3.3785334027944315E-3</v>
      </c>
      <c r="I8" s="58">
        <f>+A2.1.2!I8/A2.1.2!I$29</f>
        <v>3.3990622656115081E-3</v>
      </c>
      <c r="J8" s="62">
        <f>+A2.1.2!J8/A2.1.2!J$29</f>
        <v>1.9014644720634816E-2</v>
      </c>
      <c r="K8" s="58">
        <f>+A2.1.2!K8/A2.1.2!K$29</f>
        <v>-8.380011306433756E-5</v>
      </c>
      <c r="L8" s="58">
        <f>+A2.1.2!L8/A2.1.2!L$29</f>
        <v>3.3228341345606358E-3</v>
      </c>
      <c r="M8" s="62">
        <f>+A2.1.2!M8/A2.1.2!M$29</f>
        <v>1.8675824044617675E-2</v>
      </c>
      <c r="N8" s="58">
        <f>+A2.1.2!N8/A2.1.2!N$29</f>
        <v>3.026486784609054E-3</v>
      </c>
      <c r="O8" s="59">
        <f>+A2.1.2!O8/A2.1.2!O$29</f>
        <v>2.9713879504589973E-3</v>
      </c>
    </row>
    <row r="9" spans="1:15" ht="13.35" customHeight="1">
      <c r="A9" s="49"/>
      <c r="B9" s="16" t="s">
        <v>24</v>
      </c>
      <c r="C9" s="16" t="s">
        <v>48</v>
      </c>
      <c r="D9" s="62">
        <f>+A2.1.2!D9/A2.1.2!D$29</f>
        <v>3.1419534825965365E-2</v>
      </c>
      <c r="E9" s="58">
        <f>+A2.1.2!E9/A2.1.2!E$29</f>
        <v>7.6944409214716467E-3</v>
      </c>
      <c r="F9" s="58">
        <f>+A2.1.2!F9/A2.1.2!F$29</f>
        <v>7.5913973697869308E-3</v>
      </c>
      <c r="G9" s="62">
        <f>+A2.1.2!G9/A2.1.2!G$29</f>
        <v>2.8791466487135688E-2</v>
      </c>
      <c r="H9" s="58">
        <f>+A2.1.2!H9/A2.1.2!H$29</f>
        <v>6.6729812928518623E-3</v>
      </c>
      <c r="I9" s="58">
        <f>+A2.1.2!I9/A2.1.2!I$29</f>
        <v>6.5447905524877266E-3</v>
      </c>
      <c r="J9" s="62">
        <f>+A2.1.2!J9/A2.1.2!J$29</f>
        <v>2.2284344333614932E-2</v>
      </c>
      <c r="K9" s="58">
        <f>+A2.1.2!K9/A2.1.2!K$29</f>
        <v>5.0741727960585395E-3</v>
      </c>
      <c r="L9" s="58">
        <f>+A2.1.2!L9/A2.1.2!L$29</f>
        <v>5.0123549060702242E-3</v>
      </c>
      <c r="M9" s="62">
        <f>+A2.1.2!M9/A2.1.2!M$29</f>
        <v>2.0902816287290845E-2</v>
      </c>
      <c r="N9" s="58">
        <f>+A2.1.2!N9/A2.1.2!N$29</f>
        <v>4.3944921483419557E-3</v>
      </c>
      <c r="O9" s="59">
        <f>+A2.1.2!O9/A2.1.2!O$29</f>
        <v>4.273645940955929E-3</v>
      </c>
    </row>
    <row r="10" spans="1:15" s="51" customFormat="1" ht="13.35" customHeight="1">
      <c r="A10" s="49"/>
      <c r="B10" s="16" t="s">
        <v>25</v>
      </c>
      <c r="C10" s="16" t="s">
        <v>49</v>
      </c>
      <c r="D10" s="62">
        <f>+A2.1.2!D10/A2.1.2!D$29</f>
        <v>3.2858939991477557E-2</v>
      </c>
      <c r="E10" s="58">
        <f>+A2.1.2!E10/A2.1.2!E$29</f>
        <v>9.6391124137503136E-3</v>
      </c>
      <c r="F10" s="58">
        <f>+A2.1.2!F10/A2.1.2!F$29</f>
        <v>9.8025102736575692E-3</v>
      </c>
      <c r="G10" s="62">
        <f>+A2.1.2!G10/A2.1.2!G$29</f>
        <v>2.8146955698875691E-2</v>
      </c>
      <c r="H10" s="58">
        <f>+A2.1.2!H10/A2.1.2!H$29</f>
        <v>7.808095183026862E-3</v>
      </c>
      <c r="I10" s="58">
        <f>+A2.1.2!I10/A2.1.2!I$29</f>
        <v>7.8177309757023854E-3</v>
      </c>
      <c r="J10" s="62">
        <f>+A2.1.2!J10/A2.1.2!J$29</f>
        <v>3.1930067254601846E-2</v>
      </c>
      <c r="K10" s="58">
        <f>+A2.1.2!K10/A2.1.2!K$29</f>
        <v>8.9911846585899804E-3</v>
      </c>
      <c r="L10" s="58">
        <f>+A2.1.2!L10/A2.1.2!L$29</f>
        <v>8.7585145105795754E-3</v>
      </c>
      <c r="M10" s="62">
        <f>+A2.1.2!M10/A2.1.2!M$29</f>
        <v>2.9574642712791407E-2</v>
      </c>
      <c r="N10" s="58">
        <f>+A2.1.2!N10/A2.1.2!N$29</f>
        <v>7.7581474511967084E-3</v>
      </c>
      <c r="O10" s="59">
        <f>+A2.1.2!O10/A2.1.2!O$29</f>
        <v>7.4285356578952886E-3</v>
      </c>
    </row>
    <row r="11" spans="1:15" s="1" customFormat="1" ht="13.35" customHeight="1">
      <c r="A11" s="26"/>
      <c r="B11" s="16" t="s">
        <v>26</v>
      </c>
      <c r="C11" s="16" t="s">
        <v>50</v>
      </c>
      <c r="D11" s="62">
        <f>+A2.1.2!D11/A2.1.2!D$29</f>
        <v>3.7329948285701187E-2</v>
      </c>
      <c r="E11" s="58">
        <f>+A2.1.2!E11/A2.1.2!E$29</f>
        <v>1.306031730078358E-2</v>
      </c>
      <c r="F11" s="58">
        <f>+A2.1.2!F11/A2.1.2!F$29</f>
        <v>1.3080786895126513E-2</v>
      </c>
      <c r="G11" s="62">
        <f>+A2.1.2!G11/A2.1.2!G$29</f>
        <v>3.6484197043394423E-2</v>
      </c>
      <c r="H11" s="58">
        <f>+A2.1.2!H11/A2.1.2!H$29</f>
        <v>1.1922245462185494E-2</v>
      </c>
      <c r="I11" s="58">
        <f>+A2.1.2!I11/A2.1.2!I$29</f>
        <v>1.1929316835470752E-2</v>
      </c>
      <c r="J11" s="62">
        <f>+A2.1.2!J11/A2.1.2!J$29</f>
        <v>3.271226490718001E-2</v>
      </c>
      <c r="K11" s="58">
        <f>+A2.1.2!K11/A2.1.2!K$29</f>
        <v>1.0727493044716105E-2</v>
      </c>
      <c r="L11" s="58">
        <f>+A2.1.2!L11/A2.1.2!L$29</f>
        <v>1.059572535458052E-2</v>
      </c>
      <c r="M11" s="62">
        <f>+A2.1.2!M11/A2.1.2!M$29</f>
        <v>2.9511848253208486E-2</v>
      </c>
      <c r="N11" s="58">
        <f>+A2.1.2!N11/A2.1.2!N$29</f>
        <v>8.9885696709208988E-3</v>
      </c>
      <c r="O11" s="59">
        <f>+A2.1.2!O11/A2.1.2!O$29</f>
        <v>8.6857265210375355E-3</v>
      </c>
    </row>
    <row r="12" spans="1:15" s="1" customFormat="1" ht="13.35" customHeight="1">
      <c r="A12" s="26"/>
      <c r="B12" s="16" t="s">
        <v>27</v>
      </c>
      <c r="C12" s="16" t="s">
        <v>51</v>
      </c>
      <c r="D12" s="62">
        <f>+A2.1.2!D12/A2.1.2!D$29</f>
        <v>3.9747469884660838E-2</v>
      </c>
      <c r="E12" s="58">
        <f>+A2.1.2!E12/A2.1.2!E$29</f>
        <v>1.6066011463939465E-2</v>
      </c>
      <c r="F12" s="58">
        <f>+A2.1.2!F12/A2.1.2!F$29</f>
        <v>1.6053696347295022E-2</v>
      </c>
      <c r="G12" s="62">
        <f>+A2.1.2!G12/A2.1.2!G$29</f>
        <v>3.8793712886618814E-2</v>
      </c>
      <c r="H12" s="58">
        <f>+A2.1.2!H12/A2.1.2!H$29</f>
        <v>1.4615283175738044E-2</v>
      </c>
      <c r="I12" s="58">
        <f>+A2.1.2!I12/A2.1.2!I$29</f>
        <v>1.4595611251280328E-2</v>
      </c>
      <c r="J12" s="62">
        <f>+A2.1.2!J12/A2.1.2!J$29</f>
        <v>4.2071152938836114E-2</v>
      </c>
      <c r="K12" s="58">
        <f>+A2.1.2!K12/A2.1.2!K$29</f>
        <v>1.5786929031034257E-2</v>
      </c>
      <c r="L12" s="58">
        <f>+A2.1.2!L12/A2.1.2!L$29</f>
        <v>1.5646375858350593E-2</v>
      </c>
      <c r="M12" s="62">
        <f>+A2.1.2!M12/A2.1.2!M$29</f>
        <v>3.3450873948524466E-2</v>
      </c>
      <c r="N12" s="58">
        <f>+A2.1.2!N12/A2.1.2!N$29</f>
        <v>1.1657048086792731E-2</v>
      </c>
      <c r="O12" s="59">
        <f>+A2.1.2!O12/A2.1.2!O$29</f>
        <v>1.1361371917855141E-2</v>
      </c>
    </row>
    <row r="13" spans="1:15" s="1" customFormat="1" ht="13.35" customHeight="1">
      <c r="A13" s="26"/>
      <c r="B13" s="27" t="s">
        <v>28</v>
      </c>
      <c r="C13" s="27" t="s">
        <v>52</v>
      </c>
      <c r="D13" s="62">
        <f>+A2.1.2!D13/A2.1.2!D$29</f>
        <v>3.9443339458788508E-2</v>
      </c>
      <c r="E13" s="58">
        <f>+A2.1.2!E13/A2.1.2!E$29</f>
        <v>1.8102336005021459E-2</v>
      </c>
      <c r="F13" s="58">
        <f>+A2.1.2!F13/A2.1.2!F$29</f>
        <v>1.8063219265002414E-2</v>
      </c>
      <c r="G13" s="62">
        <f>+A2.1.2!G13/A2.1.2!G$29</f>
        <v>3.7987226063120431E-2</v>
      </c>
      <c r="H13" s="58">
        <f>+A2.1.2!H13/A2.1.2!H$29</f>
        <v>1.6247140349313103E-2</v>
      </c>
      <c r="I13" s="58">
        <f>+A2.1.2!I13/A2.1.2!I$29</f>
        <v>1.6208396020738612E-2</v>
      </c>
      <c r="J13" s="62">
        <f>+A2.1.2!J13/A2.1.2!J$29</f>
        <v>4.0190693941938076E-2</v>
      </c>
      <c r="K13" s="58">
        <f>+A2.1.2!K13/A2.1.2!K$29</f>
        <v>1.71001220652519E-2</v>
      </c>
      <c r="L13" s="58">
        <f>+A2.1.2!L13/A2.1.2!L$29</f>
        <v>1.6954482931399856E-2</v>
      </c>
      <c r="M13" s="62">
        <f>+A2.1.2!M13/A2.1.2!M$29</f>
        <v>3.6589712498662302E-2</v>
      </c>
      <c r="N13" s="58">
        <f>+A2.1.2!N13/A2.1.2!N$29</f>
        <v>1.4223487582710264E-2</v>
      </c>
      <c r="O13" s="59">
        <f>+A2.1.2!O13/A2.1.2!O$29</f>
        <v>1.4070978522809138E-2</v>
      </c>
    </row>
    <row r="14" spans="1:15" s="1" customFormat="1" ht="13.35" customHeight="1">
      <c r="A14" s="26"/>
      <c r="B14" s="27" t="s">
        <v>29</v>
      </c>
      <c r="C14" s="27" t="s">
        <v>53</v>
      </c>
      <c r="D14" s="62">
        <f>+A2.1.2!D14/A2.1.2!D$29</f>
        <v>4.2386177247891274E-2</v>
      </c>
      <c r="E14" s="58">
        <f>+A2.1.2!E14/A2.1.2!E$29</f>
        <v>2.1749733788032511E-2</v>
      </c>
      <c r="F14" s="58">
        <f>+A2.1.2!F14/A2.1.2!F$29</f>
        <v>2.1704723817906772E-2</v>
      </c>
      <c r="G14" s="62">
        <f>+A2.1.2!G14/A2.1.2!G$29</f>
        <v>3.7376422578282949E-2</v>
      </c>
      <c r="H14" s="58">
        <f>+A2.1.2!H14/A2.1.2!H$29</f>
        <v>1.7863144865861321E-2</v>
      </c>
      <c r="I14" s="58">
        <f>+A2.1.2!I14/A2.1.2!I$29</f>
        <v>1.7817117098838733E-2</v>
      </c>
      <c r="J14" s="62">
        <f>+A2.1.2!J14/A2.1.2!J$29</f>
        <v>3.7643207498976448E-2</v>
      </c>
      <c r="K14" s="58">
        <f>+A2.1.2!K14/A2.1.2!K$29</f>
        <v>1.7935724873528854E-2</v>
      </c>
      <c r="L14" s="58">
        <f>+A2.1.2!L14/A2.1.2!L$29</f>
        <v>1.7776414308726399E-2</v>
      </c>
      <c r="M14" s="62">
        <f>+A2.1.2!M14/A2.1.2!M$29</f>
        <v>3.6908770263374115E-2</v>
      </c>
      <c r="N14" s="58">
        <f>+A2.1.2!N14/A2.1.2!N$29</f>
        <v>1.5704377167875695E-2</v>
      </c>
      <c r="O14" s="59">
        <f>+A2.1.2!O14/A2.1.2!O$29</f>
        <v>1.5856457225131168E-2</v>
      </c>
    </row>
    <row r="15" spans="1:15" customFormat="1" ht="13.35" customHeight="1">
      <c r="A15" s="26"/>
      <c r="B15" s="27" t="s">
        <v>30</v>
      </c>
      <c r="C15" s="27" t="s">
        <v>54</v>
      </c>
      <c r="D15" s="62">
        <f>+A2.1.2!D15/A2.1.2!D$29</f>
        <v>4.3052644879707204E-2</v>
      </c>
      <c r="E15" s="58">
        <f>+A2.1.2!E15/A2.1.2!E$29</f>
        <v>2.4342610541601147E-2</v>
      </c>
      <c r="F15" s="58">
        <f>+A2.1.2!F15/A2.1.2!F$29</f>
        <v>2.4329350785868231E-2</v>
      </c>
      <c r="G15" s="62">
        <f>+A2.1.2!G15/A2.1.2!G$29</f>
        <v>3.9083278983134358E-2</v>
      </c>
      <c r="H15" s="58">
        <f>+A2.1.2!H15/A2.1.2!H$29</f>
        <v>2.0701581110411239E-2</v>
      </c>
      <c r="I15" s="58">
        <f>+A2.1.2!I15/A2.1.2!I$29</f>
        <v>2.0605213695582499E-2</v>
      </c>
      <c r="J15" s="62">
        <f>+A2.1.2!J15/A2.1.2!J$29</f>
        <v>3.700344572680362E-2</v>
      </c>
      <c r="K15" s="58">
        <f>+A2.1.2!K15/A2.1.2!K$29</f>
        <v>1.9452491562407932E-2</v>
      </c>
      <c r="L15" s="58">
        <f>+A2.1.2!L15/A2.1.2!L$29</f>
        <v>1.9282076473572073E-2</v>
      </c>
      <c r="M15" s="62">
        <f>+A2.1.2!M15/A2.1.2!M$29</f>
        <v>3.4672049301610636E-2</v>
      </c>
      <c r="N15" s="58">
        <f>+A2.1.2!N15/A2.1.2!N$29</f>
        <v>1.6226765613692445E-2</v>
      </c>
      <c r="O15" s="59">
        <f>+A2.1.2!O15/A2.1.2!O$29</f>
        <v>1.6465006908927032E-2</v>
      </c>
    </row>
    <row r="16" spans="1:15" customFormat="1" ht="13.35" customHeight="1">
      <c r="A16" s="26"/>
      <c r="B16" s="27" t="s">
        <v>31</v>
      </c>
      <c r="C16" s="27" t="s">
        <v>55</v>
      </c>
      <c r="D16" s="62">
        <f>+A2.1.2!D16/A2.1.2!D$29</f>
        <v>4.4842988423399031E-2</v>
      </c>
      <c r="E16" s="58">
        <f>+A2.1.2!E16/A2.1.2!E$29</f>
        <v>2.790081589898363E-2</v>
      </c>
      <c r="F16" s="58">
        <f>+A2.1.2!F16/A2.1.2!F$29</f>
        <v>2.7815830469035564E-2</v>
      </c>
      <c r="G16" s="62">
        <f>+A2.1.2!G16/A2.1.2!G$29</f>
        <v>4.2924101785197608E-2</v>
      </c>
      <c r="H16" s="58">
        <f>+A2.1.2!H16/A2.1.2!H$29</f>
        <v>2.4894622512531595E-2</v>
      </c>
      <c r="I16" s="58">
        <f>+A2.1.2!I16/A2.1.2!I$29</f>
        <v>2.4784560745129493E-2</v>
      </c>
      <c r="J16" s="62">
        <f>+A2.1.2!J16/A2.1.2!J$29</f>
        <v>3.831895996068508E-2</v>
      </c>
      <c r="K16" s="58">
        <f>+A2.1.2!K16/A2.1.2!K$29</f>
        <v>2.2145959076627451E-2</v>
      </c>
      <c r="L16" s="58">
        <f>+A2.1.2!L16/A2.1.2!L$29</f>
        <v>2.1924948812318743E-2</v>
      </c>
      <c r="M16" s="62">
        <f>+A2.1.2!M16/A2.1.2!M$29</f>
        <v>3.4103803663835607E-2</v>
      </c>
      <c r="N16" s="58">
        <f>+A2.1.2!N16/A2.1.2!N$29</f>
        <v>1.7531944412395625E-2</v>
      </c>
      <c r="O16" s="59">
        <f>+A2.1.2!O16/A2.1.2!O$29</f>
        <v>1.7753966870483827E-2</v>
      </c>
    </row>
    <row r="17" spans="1:15" customFormat="1" ht="13.35" customHeight="1">
      <c r="A17" s="26"/>
      <c r="B17" s="27" t="s">
        <v>32</v>
      </c>
      <c r="C17" s="27" t="s">
        <v>56</v>
      </c>
      <c r="D17" s="62">
        <f>+A2.1.2!D17/A2.1.2!D$29</f>
        <v>5.2396530778896451E-2</v>
      </c>
      <c r="E17" s="58">
        <f>+A2.1.2!E17/A2.1.2!E$29</f>
        <v>3.5381166790698949E-2</v>
      </c>
      <c r="F17" s="58">
        <f>+A2.1.2!F17/A2.1.2!F$29</f>
        <v>3.525664839059444E-2</v>
      </c>
      <c r="G17" s="62">
        <f>+A2.1.2!G17/A2.1.2!G$29</f>
        <v>3.9689331774200885E-2</v>
      </c>
      <c r="H17" s="58">
        <f>+A2.1.2!H17/A2.1.2!H$29</f>
        <v>2.5083413125279529E-2</v>
      </c>
      <c r="I17" s="58">
        <f>+A2.1.2!I17/A2.1.2!I$29</f>
        <v>2.4869411748313867E-2</v>
      </c>
      <c r="J17" s="62">
        <f>+A2.1.2!J17/A2.1.2!J$29</f>
        <v>3.873187132608677E-2</v>
      </c>
      <c r="K17" s="58">
        <f>+A2.1.2!K17/A2.1.2!K$29</f>
        <v>2.4332186615993557E-2</v>
      </c>
      <c r="L17" s="58">
        <f>+A2.1.2!L17/A2.1.2!L$29</f>
        <v>2.4036277793502384E-2</v>
      </c>
      <c r="M17" s="62">
        <f>+A2.1.2!M17/A2.1.2!M$29</f>
        <v>3.2121134934680495E-2</v>
      </c>
      <c r="N17" s="58">
        <f>+A2.1.2!N17/A2.1.2!N$29</f>
        <v>1.7925171130102672E-2</v>
      </c>
      <c r="O17" s="59">
        <f>+A2.1.2!O17/A2.1.2!O$29</f>
        <v>1.815726706233619E-2</v>
      </c>
    </row>
    <row r="18" spans="1:15" customFormat="1" ht="13.35" customHeight="1">
      <c r="A18" s="26"/>
      <c r="B18" s="27" t="s">
        <v>33</v>
      </c>
      <c r="C18" s="27" t="s">
        <v>57</v>
      </c>
      <c r="D18" s="62">
        <f>+A2.1.2!D18/A2.1.2!D$29</f>
        <v>4.3259521477210468E-2</v>
      </c>
      <c r="E18" s="58">
        <f>+A2.1.2!E18/A2.1.2!E$29</f>
        <v>3.1477618508443238E-2</v>
      </c>
      <c r="F18" s="58">
        <f>+A2.1.2!F18/A2.1.2!F$29</f>
        <v>3.138049296116379E-2</v>
      </c>
      <c r="G18" s="62">
        <f>+A2.1.2!G18/A2.1.2!G$29</f>
        <v>3.8029529860033252E-2</v>
      </c>
      <c r="H18" s="58">
        <f>+A2.1.2!H18/A2.1.2!H$29</f>
        <v>2.5983436447095793E-2</v>
      </c>
      <c r="I18" s="58">
        <f>+A2.1.2!I18/A2.1.2!I$29</f>
        <v>2.5774669949537983E-2</v>
      </c>
      <c r="J18" s="62">
        <f>+A2.1.2!J18/A2.1.2!J$29</f>
        <v>3.6107386620057635E-2</v>
      </c>
      <c r="K18" s="58">
        <f>+A2.1.2!K18/A2.1.2!K$29</f>
        <v>2.4477501580143942E-2</v>
      </c>
      <c r="L18" s="58">
        <f>+A2.1.2!L18/A2.1.2!L$29</f>
        <v>2.418853734142128E-2</v>
      </c>
      <c r="M18" s="62">
        <f>+A2.1.2!M18/A2.1.2!M$29</f>
        <v>3.139590314794817E-2</v>
      </c>
      <c r="N18" s="58">
        <f>+A2.1.2!N18/A2.1.2!N$29</f>
        <v>1.8971007257530374E-2</v>
      </c>
      <c r="O18" s="59">
        <f>+A2.1.2!O18/A2.1.2!O$29</f>
        <v>1.9168523370074554E-2</v>
      </c>
    </row>
    <row r="19" spans="1:15" customFormat="1" ht="13.35" customHeight="1">
      <c r="A19" s="26"/>
      <c r="B19" s="27" t="s">
        <v>34</v>
      </c>
      <c r="C19" s="27" t="s">
        <v>58</v>
      </c>
      <c r="D19" s="62">
        <f>+A2.1.2!D19/A2.1.2!D$29</f>
        <v>3.8025519307552741E-2</v>
      </c>
      <c r="E19" s="58">
        <f>+A2.1.2!E19/A2.1.2!E$29</f>
        <v>2.9800367578316649E-2</v>
      </c>
      <c r="F19" s="58">
        <f>+A2.1.2!F19/A2.1.2!F$29</f>
        <v>2.9697862863376504E-2</v>
      </c>
      <c r="G19" s="62">
        <f>+A2.1.2!G19/A2.1.2!G$29</f>
        <v>4.6569919919138669E-2</v>
      </c>
      <c r="H19" s="58">
        <f>+A2.1.2!H19/A2.1.2!H$29</f>
        <v>3.3991129684471606E-2</v>
      </c>
      <c r="I19" s="58">
        <f>+A2.1.2!I19/A2.1.2!I$29</f>
        <v>3.3875719579593511E-2</v>
      </c>
      <c r="J19" s="62">
        <f>+A2.1.2!J19/A2.1.2!J$29</f>
        <v>3.329291469835767E-2</v>
      </c>
      <c r="K19" s="58">
        <f>+A2.1.2!K19/A2.1.2!K$29</f>
        <v>2.4212700616550498E-2</v>
      </c>
      <c r="L19" s="58">
        <f>+A2.1.2!L19/A2.1.2!L$29</f>
        <v>2.3950310221187189E-2</v>
      </c>
      <c r="M19" s="62">
        <f>+A2.1.2!M19/A2.1.2!M$29</f>
        <v>3.3022146986794593E-2</v>
      </c>
      <c r="N19" s="58">
        <f>+A2.1.2!N19/A2.1.2!N$29</f>
        <v>2.1359442860475954E-2</v>
      </c>
      <c r="O19" s="59">
        <f>+A2.1.2!O19/A2.1.2!O$29</f>
        <v>2.1676677312327371E-2</v>
      </c>
    </row>
    <row r="20" spans="1:15" customFormat="1" ht="13.35" customHeight="1">
      <c r="A20" s="26"/>
      <c r="B20" s="27" t="s">
        <v>35</v>
      </c>
      <c r="C20" s="87" t="s">
        <v>59</v>
      </c>
      <c r="D20" s="62">
        <f>+A2.1.2!D20/A2.1.2!D$29</f>
        <v>0.14688844743357818</v>
      </c>
      <c r="E20" s="58">
        <f>+A2.1.2!E20/A2.1.2!E$29</f>
        <v>0.1361173095662237</v>
      </c>
      <c r="F20" s="58">
        <f>+A2.1.2!F20/A2.1.2!F$29</f>
        <v>0.13585588000778087</v>
      </c>
      <c r="G20" s="62">
        <f>+A2.1.2!G20/A2.1.2!G$29</f>
        <v>0.15290877061772817</v>
      </c>
      <c r="H20" s="58">
        <f>+A2.1.2!H20/A2.1.2!H$29</f>
        <v>0.13311026332947448</v>
      </c>
      <c r="I20" s="58">
        <f>+A2.1.2!I20/A2.1.2!I$29</f>
        <v>0.13264929516601701</v>
      </c>
      <c r="J20" s="62">
        <f>+A2.1.2!J20/A2.1.2!J$29</f>
        <v>0.15429862980173056</v>
      </c>
      <c r="K20" s="58">
        <f>+A2.1.2!K20/A2.1.2!K$29</f>
        <v>0.13416355668157764</v>
      </c>
      <c r="L20" s="58">
        <f>+A2.1.2!L20/A2.1.2!L$29</f>
        <v>0.13305503517577058</v>
      </c>
      <c r="M20" s="62">
        <f>+A2.1.2!M20/A2.1.2!M$29</f>
        <v>0.14926419928661958</v>
      </c>
      <c r="N20" s="58">
        <f>+A2.1.2!N20/A2.1.2!N$29</f>
        <v>0.11618917103780121</v>
      </c>
      <c r="O20" s="59">
        <f>+A2.1.2!O20/A2.1.2!O$29</f>
        <v>0.11753845070787035</v>
      </c>
    </row>
    <row r="21" spans="1:15" customFormat="1" ht="13.35" customHeight="1">
      <c r="A21" s="26"/>
      <c r="B21" s="27" t="s">
        <v>36</v>
      </c>
      <c r="C21" s="27" t="s">
        <v>60</v>
      </c>
      <c r="D21" s="62">
        <f>+A2.1.2!D21/A2.1.2!D$29</f>
        <v>0.12262252587837062</v>
      </c>
      <c r="E21" s="58">
        <f>+A2.1.2!E21/A2.1.2!E$29</f>
        <v>0.15961078370258158</v>
      </c>
      <c r="F21" s="58">
        <f>+A2.1.2!F21/A2.1.2!F$29</f>
        <v>0.16032079621723094</v>
      </c>
      <c r="G21" s="62">
        <f>+A2.1.2!G21/A2.1.2!G$29</f>
        <v>0.14097231318292636</v>
      </c>
      <c r="H21" s="58">
        <f>+A2.1.2!H21/A2.1.2!H$29</f>
        <v>0.17112190085190809</v>
      </c>
      <c r="I21" s="58">
        <f>+A2.1.2!I21/A2.1.2!I$29</f>
        <v>0.17119928700914935</v>
      </c>
      <c r="J21" s="62">
        <f>+A2.1.2!J21/A2.1.2!J$29</f>
        <v>0.15783771427275139</v>
      </c>
      <c r="K21" s="58">
        <f>+A2.1.2!K21/A2.1.2!K$29</f>
        <v>0.18959203080468778</v>
      </c>
      <c r="L21" s="58">
        <f>+A2.1.2!L21/A2.1.2!L$29</f>
        <v>0.1887535733176415</v>
      </c>
      <c r="M21" s="62">
        <f>+A2.1.2!M21/A2.1.2!M$29</f>
        <v>0.18714186152848791</v>
      </c>
      <c r="N21" s="58">
        <f>+A2.1.2!N21/A2.1.2!N$29</f>
        <v>0.20230625491361082</v>
      </c>
      <c r="O21" s="59">
        <f>+A2.1.2!O21/A2.1.2!O$29</f>
        <v>0.20511442293276591</v>
      </c>
    </row>
    <row r="22" spans="1:15" customFormat="1" ht="13.35" customHeight="1">
      <c r="A22" s="26"/>
      <c r="B22" s="27" t="s">
        <v>37</v>
      </c>
      <c r="C22" s="27" t="s">
        <v>61</v>
      </c>
      <c r="D22" s="62">
        <f>+A2.1.2!D22/A2.1.2!D$29</f>
        <v>5.6938842378707374E-2</v>
      </c>
      <c r="E22" s="58">
        <f>+A2.1.2!E22/A2.1.2!E$29</f>
        <v>0.1040799412097763</v>
      </c>
      <c r="F22" s="58">
        <f>+A2.1.2!F22/A2.1.2!F$29</f>
        <v>0.10552617856828647</v>
      </c>
      <c r="G22" s="62">
        <f>+A2.1.2!G22/A2.1.2!G$29</f>
        <v>6.439045092454157E-2</v>
      </c>
      <c r="H22" s="58">
        <f>+A2.1.2!H22/A2.1.2!H$29</f>
        <v>0.11032986485875304</v>
      </c>
      <c r="I22" s="58">
        <f>+A2.1.2!I22/A2.1.2!I$29</f>
        <v>0.11132792673692156</v>
      </c>
      <c r="J22" s="62">
        <f>+A2.1.2!J22/A2.1.2!J$29</f>
        <v>6.7179348585969439E-2</v>
      </c>
      <c r="K22" s="58">
        <f>+A2.1.2!K22/A2.1.2!K$29</f>
        <v>0.1145833441355254</v>
      </c>
      <c r="L22" s="58">
        <f>+A2.1.2!L22/A2.1.2!L$29</f>
        <v>0.11491571888596226</v>
      </c>
      <c r="M22" s="62">
        <f>+A2.1.2!M22/A2.1.2!M$29</f>
        <v>7.7778455840017399E-2</v>
      </c>
      <c r="N22" s="58">
        <f>+A2.1.2!N22/A2.1.2!N$29</f>
        <v>0.12089885116571174</v>
      </c>
      <c r="O22" s="59">
        <f>+A2.1.2!O22/A2.1.2!O$29</f>
        <v>0.12123402365563321</v>
      </c>
    </row>
    <row r="23" spans="1:15" customFormat="1" ht="13.35" customHeight="1">
      <c r="A23" s="26"/>
      <c r="B23" s="27" t="s">
        <v>38</v>
      </c>
      <c r="C23" s="27" t="s">
        <v>62</v>
      </c>
      <c r="D23" s="62">
        <f>+A2.1.2!D23/A2.1.2!D$29</f>
        <v>3.053770210788578E-2</v>
      </c>
      <c r="E23" s="58">
        <f>+A2.1.2!E23/A2.1.2!E$29</f>
        <v>7.2129658806014699E-2</v>
      </c>
      <c r="F23" s="58">
        <f>+A2.1.2!F23/A2.1.2!F$29</f>
        <v>7.3275752209243525E-2</v>
      </c>
      <c r="G23" s="62">
        <f>+A2.1.2!G23/A2.1.2!G$29</f>
        <v>3.4276255557463373E-2</v>
      </c>
      <c r="H23" s="58">
        <f>+A2.1.2!H23/A2.1.2!H$29</f>
        <v>7.5519672696893025E-2</v>
      </c>
      <c r="I23" s="58">
        <f>+A2.1.2!I23/A2.1.2!I$29</f>
        <v>7.6563013143901612E-2</v>
      </c>
      <c r="J23" s="62">
        <f>+A2.1.2!J23/A2.1.2!J$29</f>
        <v>3.5525864327315471E-2</v>
      </c>
      <c r="K23" s="58">
        <f>+A2.1.2!K23/A2.1.2!K$29</f>
        <v>7.7771547797901949E-2</v>
      </c>
      <c r="L23" s="58">
        <f>+A2.1.2!L23/A2.1.2!L$29</f>
        <v>7.8498485144933627E-2</v>
      </c>
      <c r="M23" s="62">
        <f>+A2.1.2!M23/A2.1.2!M$29</f>
        <v>4.2784916593922383E-2</v>
      </c>
      <c r="N23" s="58">
        <f>+A2.1.2!N23/A2.1.2!N$29</f>
        <v>8.5950834121525474E-2</v>
      </c>
      <c r="O23" s="59">
        <f>+A2.1.2!O23/A2.1.2!O$29</f>
        <v>8.6080444760935945E-2</v>
      </c>
    </row>
    <row r="24" spans="1:15" customFormat="1" ht="13.35" customHeight="1">
      <c r="A24" s="26"/>
      <c r="B24" s="27" t="s">
        <v>39</v>
      </c>
      <c r="C24" s="27" t="s">
        <v>63</v>
      </c>
      <c r="D24" s="62">
        <f>+A2.1.2!D24/A2.1.2!D$29</f>
        <v>3.2912053678292578E-2</v>
      </c>
      <c r="E24" s="58">
        <f>+A2.1.2!E24/A2.1.2!E$29</f>
        <v>0.10533532660007829</v>
      </c>
      <c r="F24" s="58">
        <f>+A2.1.2!F24/A2.1.2!F$29</f>
        <v>0.10632285315185006</v>
      </c>
      <c r="G24" s="62">
        <f>+A2.1.2!G24/A2.1.2!G$29</f>
        <v>3.8439673088925971E-2</v>
      </c>
      <c r="H24" s="58">
        <f>+A2.1.2!H24/A2.1.2!H$29</f>
        <v>0.11424629622982452</v>
      </c>
      <c r="I24" s="58">
        <f>+A2.1.2!I24/A2.1.2!I$29</f>
        <v>0.11577152614921461</v>
      </c>
      <c r="J24" s="62">
        <f>+A2.1.2!J24/A2.1.2!J$29</f>
        <v>3.9860888350555422E-2</v>
      </c>
      <c r="K24" s="58">
        <f>+A2.1.2!K24/A2.1.2!K$29</f>
        <v>0.11811298611285628</v>
      </c>
      <c r="L24" s="58">
        <f>+A2.1.2!L24/A2.1.2!L$29</f>
        <v>0.11920167260667779</v>
      </c>
      <c r="M24" s="62">
        <f>+A2.1.2!M24/A2.1.2!M$29</f>
        <v>4.6086932296074995E-2</v>
      </c>
      <c r="N24" s="58">
        <f>+A2.1.2!N24/A2.1.2!N$29</f>
        <v>0.12584298582267206</v>
      </c>
      <c r="O24" s="59">
        <f>+A2.1.2!O24/A2.1.2!O$29</f>
        <v>0.1255985233248868</v>
      </c>
    </row>
    <row r="25" spans="1:15" customFormat="1" ht="13.35" customHeight="1">
      <c r="A25" s="26"/>
      <c r="B25" s="27" t="s">
        <v>40</v>
      </c>
      <c r="C25" s="27" t="s">
        <v>64</v>
      </c>
      <c r="D25" s="62">
        <f>+A2.1.2!D25/A2.1.2!D$29</f>
        <v>1.0966884950176208E-2</v>
      </c>
      <c r="E25" s="58">
        <f>+A2.1.2!E25/A2.1.2!E$29</f>
        <v>5.0974301663281249E-2</v>
      </c>
      <c r="F25" s="58">
        <f>+A2.1.2!F25/A2.1.2!F$29</f>
        <v>5.0547820165216459E-2</v>
      </c>
      <c r="G25" s="62">
        <f>+A2.1.2!G25/A2.1.2!G$29</f>
        <v>1.3114855713512353E-2</v>
      </c>
      <c r="H25" s="58">
        <f>+A2.1.2!H25/A2.1.2!H$29</f>
        <v>5.6423480278274742E-2</v>
      </c>
      <c r="I25" s="58">
        <f>+A2.1.2!I25/A2.1.2!I$29</f>
        <v>5.6329960578321549E-2</v>
      </c>
      <c r="J25" s="62">
        <f>+A2.1.2!J25/A2.1.2!J$29</f>
        <v>1.3467497898907169E-2</v>
      </c>
      <c r="K25" s="58">
        <f>+A2.1.2!K25/A2.1.2!K$29</f>
        <v>5.7221976957093905E-2</v>
      </c>
      <c r="L25" s="58">
        <f>+A2.1.2!L25/A2.1.2!L$29</f>
        <v>5.7189385900572556E-2</v>
      </c>
      <c r="M25" s="62">
        <f>+A2.1.2!M25/A2.1.2!M$29</f>
        <v>1.6206940468199028E-2</v>
      </c>
      <c r="N25" s="58">
        <f>+A2.1.2!N25/A2.1.2!N$29</f>
        <v>6.3433083023673037E-2</v>
      </c>
      <c r="O25" s="59">
        <f>+A2.1.2!O25/A2.1.2!O$29</f>
        <v>6.2658265909739108E-2</v>
      </c>
    </row>
    <row r="26" spans="1:15" customFormat="1" ht="13.35" customHeight="1">
      <c r="A26" s="26"/>
      <c r="B26" s="27" t="s">
        <v>41</v>
      </c>
      <c r="C26" s="27" t="s">
        <v>65</v>
      </c>
      <c r="D26" s="62">
        <f>+A2.1.2!D26/A2.1.2!D$29</f>
        <v>1.0025147754273288E-2</v>
      </c>
      <c r="E26" s="58">
        <f>+A2.1.2!E26/A2.1.2!E$29</f>
        <v>7.3844303069153849E-2</v>
      </c>
      <c r="F26" s="58">
        <f>+A2.1.2!F26/A2.1.2!F$29</f>
        <v>7.1677299735135661E-2</v>
      </c>
      <c r="G26" s="62">
        <f>+A2.1.2!G26/A2.1.2!G$29</f>
        <v>1.1647117561799173E-2</v>
      </c>
      <c r="H26" s="58">
        <f>+A2.1.2!H26/A2.1.2!H$29</f>
        <v>7.9270318593406913E-2</v>
      </c>
      <c r="I26" s="58">
        <f>+A2.1.2!I26/A2.1.2!I$29</f>
        <v>7.7498335837325835E-2</v>
      </c>
      <c r="J26" s="62">
        <f>+A2.1.2!J26/A2.1.2!J$29</f>
        <v>1.1322889053355434E-2</v>
      </c>
      <c r="K26" s="58">
        <f>+A2.1.2!K26/A2.1.2!K$29</f>
        <v>7.5832092228487538E-2</v>
      </c>
      <c r="L26" s="58">
        <f>+A2.1.2!L26/A2.1.2!L$29</f>
        <v>7.4246175296905151E-2</v>
      </c>
      <c r="M26" s="62">
        <f>+A2.1.2!M26/A2.1.2!M$29</f>
        <v>1.348444687367612E-2</v>
      </c>
      <c r="N26" s="58">
        <f>+A2.1.2!N26/A2.1.2!N$29</f>
        <v>8.3287147339559581E-2</v>
      </c>
      <c r="O26" s="59">
        <f>+A2.1.2!O26/A2.1.2!O$29</f>
        <v>8.0481683789930966E-2</v>
      </c>
    </row>
    <row r="27" spans="1:15" customFormat="1" ht="13.35" customHeight="1">
      <c r="A27" s="26"/>
      <c r="B27" s="27" t="s">
        <v>42</v>
      </c>
      <c r="C27" s="27" t="s">
        <v>66</v>
      </c>
      <c r="D27" s="62">
        <f>+A2.1.2!D27/A2.1.2!D$29</f>
        <v>2.7915001609174939E-3</v>
      </c>
      <c r="E27" s="58">
        <f>+A2.1.2!E27/A2.1.2!E$29</f>
        <v>4.5453862224453738E-2</v>
      </c>
      <c r="F27" s="58">
        <f>+A2.1.2!F27/A2.1.2!F$29</f>
        <v>4.2989568835063711E-2</v>
      </c>
      <c r="G27" s="62">
        <f>+A2.1.2!G27/A2.1.2!G$29</f>
        <v>2.9933895227294682E-3</v>
      </c>
      <c r="H27" s="58">
        <f>+A2.1.2!H27/A2.1.2!H$29</f>
        <v>4.508887970971838E-2</v>
      </c>
      <c r="I27" s="58">
        <f>+A2.1.2!I27/A2.1.2!I$29</f>
        <v>4.2844018239045455E-2</v>
      </c>
      <c r="J27" s="62">
        <f>+A2.1.2!J27/A2.1.2!J$29</f>
        <v>2.7771724798174029E-3</v>
      </c>
      <c r="K27" s="58">
        <f>+A2.1.2!K27/A2.1.2!K$29</f>
        <v>4.1145224648031317E-2</v>
      </c>
      <c r="L27" s="58">
        <f>+A2.1.2!L27/A2.1.2!L$29</f>
        <v>3.9052689407274868E-2</v>
      </c>
      <c r="M27" s="62">
        <f>+A2.1.2!M27/A2.1.2!M$29</f>
        <v>3.2394423498217431E-3</v>
      </c>
      <c r="N27" s="58">
        <f>+A2.1.2!N27/A2.1.2!N$29</f>
        <v>4.4502719636256231E-2</v>
      </c>
      <c r="O27" s="59">
        <f>+A2.1.2!O27/A2.1.2!O$29</f>
        <v>4.1564248883594314E-2</v>
      </c>
    </row>
    <row r="28" spans="1:15" customFormat="1" ht="13.35" customHeight="1">
      <c r="A28" s="26"/>
      <c r="B28" s="27" t="s">
        <v>43</v>
      </c>
      <c r="C28" s="27" t="s">
        <v>67</v>
      </c>
      <c r="D28" s="62">
        <f>+A2.1.2!D28/A2.1.2!D$29</f>
        <v>5.764896509557675E-4</v>
      </c>
      <c r="E28" s="58">
        <f>+A2.1.2!E28/A2.1.2!E$29</f>
        <v>3.5070220482941006E-2</v>
      </c>
      <c r="F28" s="58">
        <f>+A2.1.2!F28/A2.1.2!F$29</f>
        <v>3.2545219727652522E-2</v>
      </c>
      <c r="G28" s="62">
        <f>+A2.1.2!G28/A2.1.2!G$29</f>
        <v>5.4271020745374804E-4</v>
      </c>
      <c r="H28" s="58">
        <f>+A2.1.2!H28/A2.1.2!H$29</f>
        <v>2.7485697633707031E-2</v>
      </c>
      <c r="I28" s="58">
        <f>+A2.1.2!I28/A2.1.2!I$29</f>
        <v>2.5702946492329848E-2</v>
      </c>
      <c r="J28" s="62">
        <f>+A2.1.2!J28/A2.1.2!J$29</f>
        <v>4.5217393580438862E-4</v>
      </c>
      <c r="K28" s="58">
        <f>+A2.1.2!K28/A2.1.2!K$29</f>
        <v>2.2638176205326536E-2</v>
      </c>
      <c r="L28" s="58">
        <f>+A2.1.2!L28/A2.1.2!L$29</f>
        <v>2.1145452759911396E-2</v>
      </c>
      <c r="M28" s="62">
        <f>+A2.1.2!M28/A2.1.2!M$29</f>
        <v>5.0036571139489493E-4</v>
      </c>
      <c r="N28" s="58">
        <f>+A2.1.2!N28/A2.1.2!N$29</f>
        <v>2.1526686728178389E-2</v>
      </c>
      <c r="O28" s="59">
        <f>+A2.1.2!O28/A2.1.2!O$29</f>
        <v>1.9631548208009466E-2</v>
      </c>
    </row>
    <row r="29" spans="1:15" customFormat="1" ht="13.35" customHeight="1">
      <c r="A29" s="88"/>
      <c r="B29" s="75" t="s">
        <v>9</v>
      </c>
      <c r="C29" s="89"/>
      <c r="D29" s="63">
        <f t="shared" ref="D29:O29" si="0">SUM(D4:D28)</f>
        <v>0.99999999999999989</v>
      </c>
      <c r="E29" s="60">
        <f t="shared" si="0"/>
        <v>0.99999999999999978</v>
      </c>
      <c r="F29" s="60">
        <f t="shared" si="0"/>
        <v>0.99999999999999989</v>
      </c>
      <c r="G29" s="63">
        <f t="shared" si="0"/>
        <v>0.99999999999999978</v>
      </c>
      <c r="H29" s="60">
        <f t="shared" si="0"/>
        <v>1.0000000000000002</v>
      </c>
      <c r="I29" s="60">
        <f t="shared" si="0"/>
        <v>1</v>
      </c>
      <c r="J29" s="63">
        <f t="shared" si="0"/>
        <v>1.0000000000000002</v>
      </c>
      <c r="K29" s="60">
        <f t="shared" si="0"/>
        <v>0.99999999999999967</v>
      </c>
      <c r="L29" s="60">
        <f t="shared" si="0"/>
        <v>1</v>
      </c>
      <c r="M29" s="63">
        <f t="shared" si="0"/>
        <v>1</v>
      </c>
      <c r="N29" s="60">
        <f t="shared" si="0"/>
        <v>0.99999999999999978</v>
      </c>
      <c r="O29" s="61">
        <f t="shared" si="0"/>
        <v>0.99999999999999978</v>
      </c>
    </row>
    <row r="30" spans="1:15" customFormat="1" ht="13.35" customHeight="1">
      <c r="A30" s="26"/>
      <c r="B30" s="27"/>
      <c r="C30" s="16" t="s">
        <v>273</v>
      </c>
      <c r="D30" s="62">
        <f>+A2.1.2!D30/A2.1.2!D$29</f>
        <v>6.659461960777846E-2</v>
      </c>
      <c r="E30" s="58">
        <f>+A2.1.2!E30/A2.1.2!E$29</f>
        <v>-2.6014613376338341E-2</v>
      </c>
      <c r="F30" s="58">
        <f>+A2.1.2!F30/A2.1.2!F$29</f>
        <v>-2.2358596521012998E-2</v>
      </c>
      <c r="G30" s="62">
        <f>+A2.1.2!G30/A2.1.2!G$29</f>
        <v>5.9547231736806136E-2</v>
      </c>
      <c r="H30" s="58">
        <f>+A2.1.2!H30/A2.1.2!H$29</f>
        <v>-2.5090643855050169E-2</v>
      </c>
      <c r="I30" s="58">
        <f>+A2.1.2!I30/A2.1.2!I$29</f>
        <v>-2.1729419442041421E-2</v>
      </c>
      <c r="J30" s="62">
        <f>+A2.1.2!J30/A2.1.2!J$29</f>
        <v>5.7224105734974599E-2</v>
      </c>
      <c r="K30" s="58">
        <f>+A2.1.2!K30/A2.1.2!K$29</f>
        <v>-2.4685806784586452E-2</v>
      </c>
      <c r="L30" s="58">
        <f>+A2.1.2!L30/A2.1.2!L$29</f>
        <v>-2.12325000214157E-2</v>
      </c>
      <c r="M30" s="62">
        <f>+A2.1.2!M30/A2.1.2!M$29</f>
        <v>4.1859140529578405E-2</v>
      </c>
      <c r="N30" s="58">
        <f>+A2.1.2!N30/A2.1.2!N$29</f>
        <v>-2.5005715703238021E-2</v>
      </c>
      <c r="O30" s="59">
        <f>+A2.1.2!O30/A2.1.2!O$29</f>
        <v>-2.123330747635627E-2</v>
      </c>
    </row>
    <row r="31" spans="1:15" customFormat="1" ht="13.35" customHeight="1">
      <c r="A31" s="26"/>
      <c r="B31" s="27"/>
      <c r="C31" s="16" t="s">
        <v>274</v>
      </c>
      <c r="D31" s="62">
        <f>+A2.1.2!D31/A2.1.2!D$29</f>
        <v>0.13866164665525652</v>
      </c>
      <c r="E31" s="58">
        <f>+A2.1.2!E31/A2.1.2!E$29</f>
        <v>2.5517928176013237E-2</v>
      </c>
      <c r="F31" s="58">
        <f>+A2.1.2!F31/A2.1.2!F$29</f>
        <v>2.591461610818329E-2</v>
      </c>
      <c r="G31" s="62">
        <f>+A2.1.2!G31/A2.1.2!G$29</f>
        <v>0.12422951099299227</v>
      </c>
      <c r="H31" s="58">
        <f>+A2.1.2!H31/A2.1.2!H$29</f>
        <v>2.1192272940202268E-2</v>
      </c>
      <c r="I31" s="58">
        <f>+A2.1.2!I31/A2.1.2!I$29</f>
        <v>2.138309316532885E-2</v>
      </c>
      <c r="J31" s="62">
        <f>+A2.1.2!J31/A2.1.2!J$29</f>
        <v>0.12398181793989729</v>
      </c>
      <c r="K31" s="58">
        <f>+A2.1.2!K31/A2.1.2!K$29</f>
        <v>1.7453762746843439E-2</v>
      </c>
      <c r="L31" s="58">
        <f>+A2.1.2!L31/A2.1.2!L$29</f>
        <v>2.0819162430706886E-2</v>
      </c>
      <c r="M31" s="62">
        <f>+A2.1.2!M31/A2.1.2!M$29</f>
        <v>0.11987705552356871</v>
      </c>
      <c r="N31" s="58">
        <f>+A2.1.2!N31/A2.1.2!N$29</f>
        <v>1.8480168131752787E-2</v>
      </c>
      <c r="O31" s="59">
        <f>+A2.1.2!O31/A2.1.2!O$29</f>
        <v>1.81357195920081E-2</v>
      </c>
    </row>
    <row r="32" spans="1:15" customFormat="1" ht="13.35" customHeight="1">
      <c r="A32" s="26"/>
      <c r="B32" s="27"/>
      <c r="C32" s="16" t="s">
        <v>275</v>
      </c>
      <c r="D32" s="62">
        <f>+A2.1.2!D32/A2.1.2!D$29</f>
        <v>0.24680256818014804</v>
      </c>
      <c r="E32" s="58">
        <f>+A2.1.2!E32/A2.1.2!E$29</f>
        <v>0.12122182499836179</v>
      </c>
      <c r="F32" s="58">
        <f>+A2.1.2!F32/A2.1.2!F$29</f>
        <v>0.12104760758023451</v>
      </c>
      <c r="G32" s="62">
        <f>+A2.1.2!G32/A2.1.2!G$29</f>
        <v>0.23264893933974859</v>
      </c>
      <c r="H32" s="58">
        <f>+A2.1.2!H32/A2.1.2!H$29</f>
        <v>0.1062440174760408</v>
      </c>
      <c r="I32" s="58">
        <f>+A2.1.2!I32/A2.1.2!I$29</f>
        <v>0.10594021564704044</v>
      </c>
      <c r="J32" s="62">
        <f>+A2.1.2!J32/A2.1.2!J$29</f>
        <v>0.22793972497441933</v>
      </c>
      <c r="K32" s="58">
        <f>+A2.1.2!K32/A2.1.2!K$29</f>
        <v>0.10314871965356651</v>
      </c>
      <c r="L32" s="58">
        <f>+A2.1.2!L32/A2.1.2!L$29</f>
        <v>0.1021800237389482</v>
      </c>
      <c r="M32" s="62">
        <f>+A2.1.2!M32/A2.1.2!M$29</f>
        <v>0.20523705792921562</v>
      </c>
      <c r="N32" s="58">
        <f>+A2.1.2!N32/A2.1.2!N$29</f>
        <v>8.4332192534387659E-2</v>
      </c>
      <c r="O32" s="59">
        <f>+A2.1.2!O32/A2.1.2!O$29</f>
        <v>8.419350796624385E-2</v>
      </c>
    </row>
    <row r="33" spans="1:15" customFormat="1" ht="13.35" customHeight="1">
      <c r="A33" s="26"/>
      <c r="B33" s="27"/>
      <c r="C33" s="27" t="s">
        <v>276</v>
      </c>
      <c r="D33" s="62">
        <f>+A2.1.2!D33/A2.1.2!D$29</f>
        <v>0.46013138725431585</v>
      </c>
      <c r="E33" s="58">
        <f>+A2.1.2!E33/A2.1.2!E$29</f>
        <v>0.49646718735604045</v>
      </c>
      <c r="F33" s="58">
        <f>+A2.1.2!F33/A2.1.2!F$29</f>
        <v>0.498037859008433</v>
      </c>
      <c r="G33" s="62">
        <f>+A2.1.2!G33/A2.1.2!G$29</f>
        <v>0.48256031627856893</v>
      </c>
      <c r="H33" s="58">
        <f>+A2.1.2!H33/A2.1.2!H$29</f>
        <v>0.4996200082969825</v>
      </c>
      <c r="I33" s="58">
        <f>+A2.1.2!I33/A2.1.2!I$29</f>
        <v>0.49969631018953325</v>
      </c>
      <c r="J33" s="62">
        <f>+A2.1.2!J33/A2.1.2!J$29</f>
        <v>0.48744786530495349</v>
      </c>
      <c r="K33" s="58">
        <f>+A2.1.2!K33/A2.1.2!K$29</f>
        <v>0.51136132043447879</v>
      </c>
      <c r="L33" s="58">
        <f>+A2.1.2!L33/A2.1.2!L$29</f>
        <v>0.5088994527354852</v>
      </c>
      <c r="M33" s="62">
        <f>+A2.1.2!M33/A2.1.2!M$29</f>
        <v>0.51072370172454817</v>
      </c>
      <c r="N33" s="58">
        <f>+A2.1.2!N33/A2.1.2!N$29</f>
        <v>0.49764989836523277</v>
      </c>
      <c r="O33" s="59">
        <f>+A2.1.2!O33/A2.1.2!O$29</f>
        <v>0.50288936504100767</v>
      </c>
    </row>
    <row r="34" spans="1:15" customFormat="1" ht="13.35" customHeight="1">
      <c r="A34" s="26"/>
      <c r="B34" s="27"/>
      <c r="C34" s="246" t="s">
        <v>515</v>
      </c>
      <c r="D34" s="62">
        <f>+A2.1.2!D34/A2.1.2!D$29</f>
        <v>8.7809778302501126E-2</v>
      </c>
      <c r="E34" s="58">
        <f>+A2.1.2!E34/A2.1.2!E$29</f>
        <v>0.38280767284592288</v>
      </c>
      <c r="F34" s="58">
        <f>+A2.1.2!F34/A2.1.2!F$29</f>
        <v>0.37735851382416191</v>
      </c>
      <c r="G34" s="62">
        <f>+A2.1.2!G34/A2.1.2!G$29</f>
        <v>0.10101400165188409</v>
      </c>
      <c r="H34" s="58">
        <f>+A2.1.2!H34/A2.1.2!H$29</f>
        <v>0.39803434514182462</v>
      </c>
      <c r="I34" s="58">
        <f>+A2.1.2!I34/A2.1.2!I$29</f>
        <v>0.39470980044013892</v>
      </c>
      <c r="J34" s="62">
        <f>+A2.1.2!J34/A2.1.2!J$29</f>
        <v>0.10340648604575529</v>
      </c>
      <c r="K34" s="58">
        <f>+A2.1.2!K34/A2.1.2!K$29</f>
        <v>0.39272200394969747</v>
      </c>
      <c r="L34" s="58">
        <f>+A2.1.2!L34/A2.1.2!L$29</f>
        <v>0.38933386111627533</v>
      </c>
      <c r="M34" s="62">
        <f>+A2.1.2!M34/A2.1.2!M$29</f>
        <v>0.12230304429308916</v>
      </c>
      <c r="N34" s="58">
        <f>+A2.1.2!N34/A2.1.2!N$29</f>
        <v>0.42454345667186472</v>
      </c>
      <c r="O34" s="59">
        <f>+A2.1.2!O34/A2.1.2!O$29</f>
        <v>0.41601471487709657</v>
      </c>
    </row>
    <row r="35" spans="1:15" s="1" customFormat="1" ht="13.35" customHeight="1">
      <c r="A35" s="88"/>
      <c r="B35" s="75" t="s">
        <v>9</v>
      </c>
      <c r="C35" s="89"/>
      <c r="D35" s="63">
        <f>A2.1.1!D35/A2.1.1!D$29</f>
        <v>1</v>
      </c>
      <c r="E35" s="60">
        <f>A2.1.1!E35/A2.1.1!E$29</f>
        <v>0.99999999999999978</v>
      </c>
      <c r="F35" s="60">
        <f>A2.1.1!F35/A2.1.1!F$29</f>
        <v>1</v>
      </c>
      <c r="G35" s="63">
        <f>A2.1.1!G35/A2.1.1!G$29</f>
        <v>1</v>
      </c>
      <c r="H35" s="60">
        <f>A2.1.1!H35/A2.1.1!H$29</f>
        <v>1.0000000000000002</v>
      </c>
      <c r="I35" s="60">
        <f>A2.1.1!I35/A2.1.1!I$29</f>
        <v>0.99999999999999978</v>
      </c>
      <c r="J35" s="63">
        <f>A2.1.1!J35/A2.1.1!J$29</f>
        <v>1</v>
      </c>
      <c r="K35" s="60">
        <f>A2.1.1!K35/A2.1.1!K$29</f>
        <v>1</v>
      </c>
      <c r="L35" s="60">
        <f>A2.1.1!L35/A2.1.1!L$29</f>
        <v>0.99999999999999967</v>
      </c>
      <c r="M35" s="63">
        <f>A2.1.1!M35/A2.1.1!M$29</f>
        <v>1</v>
      </c>
      <c r="N35" s="60">
        <f>A2.1.1!N35/A2.1.1!N$29</f>
        <v>1.0000000000000002</v>
      </c>
      <c r="O35" s="61">
        <f>A2.1.1!O35/A2.1.1!O$29</f>
        <v>0.99999999999999989</v>
      </c>
    </row>
    <row r="36" spans="1:15" customFormat="1" ht="13.35" customHeight="1">
      <c r="A36" s="1"/>
      <c r="B36" s="1"/>
      <c r="C36" s="1"/>
      <c r="D36" s="1"/>
      <c r="E36" s="1"/>
      <c r="F36" s="1"/>
      <c r="G36" s="1"/>
      <c r="H36" s="1"/>
      <c r="I36" s="1"/>
      <c r="J36" s="1"/>
      <c r="K36" s="1"/>
      <c r="L36" s="1"/>
      <c r="M36" s="1"/>
      <c r="N36" s="1"/>
      <c r="O36" s="1"/>
    </row>
    <row r="37" spans="1:15" customFormat="1" ht="13.35" customHeight="1">
      <c r="H37" s="560" t="s">
        <v>506</v>
      </c>
    </row>
    <row r="38" spans="1:15" customFormat="1" ht="13.35" customHeight="1">
      <c r="H38" s="1"/>
    </row>
    <row r="39" spans="1:15" customFormat="1" ht="13.35" customHeight="1">
      <c r="H39" s="1"/>
      <c r="J39" s="659">
        <f>J20+J21</f>
        <v>0.31213634407448199</v>
      </c>
      <c r="K39" s="660"/>
      <c r="L39" s="661"/>
    </row>
    <row r="40" spans="1:15" customFormat="1" ht="13.35" customHeight="1">
      <c r="H40" s="1"/>
      <c r="J40" s="662">
        <f>SUM(J10:J21)</f>
        <v>0.6801383089480052</v>
      </c>
      <c r="K40" s="663">
        <f>SUM(K10:K21)</f>
        <v>0.50891788061110987</v>
      </c>
      <c r="L40" s="664">
        <f>SUM(L10:L21)</f>
        <v>0.50492227209905072</v>
      </c>
    </row>
    <row r="41" spans="1:15" customFormat="1" ht="13.35" customHeight="1">
      <c r="H41" s="1"/>
      <c r="J41" s="662">
        <f>SUM(J4:J9)</f>
        <v>0.14927585642027003</v>
      </c>
      <c r="K41" s="663">
        <f>SUM(K4:K9)</f>
        <v>-1.6223228696332994E-2</v>
      </c>
      <c r="L41" s="664">
        <f>SUM(L4:L9)</f>
        <v>-9.171852101288392E-3</v>
      </c>
    </row>
    <row r="42" spans="1:15" customFormat="1" ht="13.35" customHeight="1">
      <c r="H42" s="1"/>
      <c r="J42" s="665">
        <f>SUM(J22:J28)</f>
        <v>0.17058583463172472</v>
      </c>
      <c r="K42" s="666">
        <f>SUM(K22:K28)</f>
        <v>0.50730534808522287</v>
      </c>
      <c r="L42" s="667">
        <f>SUM(L22:L28)</f>
        <v>0.50424958000223763</v>
      </c>
    </row>
    <row r="43" spans="1:15" customFormat="1" ht="13.35" customHeight="1">
      <c r="H43" s="1"/>
    </row>
    <row r="44" spans="1:15" customFormat="1" ht="13.35" customHeight="1">
      <c r="H44" s="1"/>
    </row>
  </sheetData>
  <mergeCells count="1">
    <mergeCell ref="B3:C3"/>
  </mergeCells>
  <hyperlinks>
    <hyperlink ref="H37" location="CONTENTS!A1" display="BACK TO CONTENTS"/>
  </hyperlinks>
  <pageMargins left="0.98425196850393704" right="0.98425196850393704" top="0.98425196850393704" bottom="0.98425196850393704" header="0.51181102362204722" footer="0.51181102362204722"/>
  <pageSetup paperSize="9" scale="91" orientation="landscape" r:id="rId1"/>
  <headerFooter alignWithMargins="0"/>
</worksheet>
</file>

<file path=xl/worksheets/sheet22.xml><?xml version="1.0" encoding="utf-8"?>
<worksheet xmlns="http://schemas.openxmlformats.org/spreadsheetml/2006/main" xmlns:r="http://schemas.openxmlformats.org/officeDocument/2006/relationships">
  <sheetPr codeName="Sheet22" enableFormatConditionsCalculation="0">
    <pageSetUpPr fitToPage="1"/>
  </sheetPr>
  <dimension ref="A1:R45"/>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5.7109375" style="2" customWidth="1"/>
    <col min="4" max="4" width="11.28515625" style="2" bestFit="1" customWidth="1"/>
    <col min="5" max="6" width="9.7109375" style="2" customWidth="1"/>
    <col min="7" max="7" width="11.5703125" style="14" bestFit="1" customWidth="1"/>
    <col min="8" max="9" width="9.7109375" style="6" customWidth="1"/>
    <col min="10" max="10" width="11.28515625" style="6" bestFit="1" customWidth="1"/>
    <col min="11" max="12" width="9.7109375" style="6" customWidth="1"/>
    <col min="13" max="13" width="11.5703125" style="6" bestFit="1" customWidth="1"/>
    <col min="14" max="16" width="9.7109375" style="6" customWidth="1"/>
    <col min="17" max="17" width="9.140625" style="6"/>
    <col min="18" max="18" width="9.140625" style="6" customWidth="1"/>
    <col min="19" max="16384" width="9.140625" style="10"/>
  </cols>
  <sheetData>
    <row r="1" spans="1:18" s="8" customFormat="1" ht="15" customHeight="1">
      <c r="A1" s="455" t="s">
        <v>485</v>
      </c>
      <c r="B1" s="455"/>
      <c r="C1" s="455"/>
      <c r="D1" s="564"/>
      <c r="E1" s="564"/>
      <c r="F1" s="564"/>
      <c r="G1" s="66"/>
      <c r="H1" s="4"/>
      <c r="I1" s="5"/>
      <c r="J1" s="4"/>
      <c r="K1" s="4"/>
      <c r="L1" s="4"/>
      <c r="M1" s="4"/>
      <c r="N1" s="4"/>
      <c r="O1" s="4"/>
      <c r="P1" s="4"/>
      <c r="Q1" s="4"/>
      <c r="R1" s="4"/>
    </row>
    <row r="2" spans="1:18" s="8" customFormat="1" ht="15" customHeight="1">
      <c r="A2" s="90"/>
      <c r="B2" s="91" t="s">
        <v>183</v>
      </c>
      <c r="C2" s="92"/>
      <c r="D2" s="84" t="s">
        <v>463</v>
      </c>
      <c r="E2" s="67"/>
      <c r="F2" s="67"/>
      <c r="G2" s="65" t="s">
        <v>464</v>
      </c>
      <c r="H2" s="67"/>
      <c r="I2" s="67"/>
      <c r="J2" s="65" t="s">
        <v>465</v>
      </c>
      <c r="K2" s="67"/>
      <c r="L2" s="67"/>
      <c r="M2" s="65" t="s">
        <v>466</v>
      </c>
      <c r="N2" s="67"/>
      <c r="O2" s="85"/>
      <c r="P2" s="93" t="s">
        <v>164</v>
      </c>
      <c r="Q2" s="4"/>
      <c r="R2" s="4"/>
    </row>
    <row r="3" spans="1:18" ht="33.75" customHeight="1">
      <c r="A3" s="80"/>
      <c r="B3" s="703" t="s">
        <v>172</v>
      </c>
      <c r="C3" s="702"/>
      <c r="D3" s="32" t="s">
        <v>18</v>
      </c>
      <c r="E3" s="33" t="s">
        <v>68</v>
      </c>
      <c r="F3" s="33" t="s">
        <v>69</v>
      </c>
      <c r="G3" s="32" t="s">
        <v>18</v>
      </c>
      <c r="H3" s="33" t="s">
        <v>68</v>
      </c>
      <c r="I3" s="33" t="s">
        <v>69</v>
      </c>
      <c r="J3" s="32" t="s">
        <v>18</v>
      </c>
      <c r="K3" s="33" t="s">
        <v>68</v>
      </c>
      <c r="L3" s="33" t="s">
        <v>69</v>
      </c>
      <c r="M3" s="32" t="s">
        <v>18</v>
      </c>
      <c r="N3" s="33" t="s">
        <v>68</v>
      </c>
      <c r="O3" s="86" t="s">
        <v>69</v>
      </c>
      <c r="P3" s="94"/>
    </row>
    <row r="4" spans="1:18" ht="13.35" customHeight="1">
      <c r="A4" s="49"/>
      <c r="B4" s="16" t="s">
        <v>10</v>
      </c>
      <c r="C4" s="16"/>
      <c r="D4" s="19">
        <v>327619</v>
      </c>
      <c r="E4" s="15">
        <v>42812.081714</v>
      </c>
      <c r="F4" s="15">
        <v>7577.6598569999996</v>
      </c>
      <c r="G4" s="19">
        <v>354956</v>
      </c>
      <c r="H4" s="15">
        <v>50532.329234999997</v>
      </c>
      <c r="I4" s="15">
        <v>8945.3818420000007</v>
      </c>
      <c r="J4" s="19">
        <v>371225</v>
      </c>
      <c r="K4" s="15">
        <v>54795.499492000003</v>
      </c>
      <c r="L4" s="15">
        <v>9267.8269259999997</v>
      </c>
      <c r="M4" s="19">
        <v>366993</v>
      </c>
      <c r="N4" s="15">
        <v>58204.306001999998</v>
      </c>
      <c r="O4" s="24">
        <v>9848.1094630000007</v>
      </c>
      <c r="P4" s="15"/>
    </row>
    <row r="5" spans="1:18" ht="13.35" customHeight="1">
      <c r="A5" s="49"/>
      <c r="B5" s="16" t="s">
        <v>11</v>
      </c>
      <c r="C5" s="16"/>
      <c r="D5" s="19">
        <v>182484</v>
      </c>
      <c r="E5" s="15">
        <v>21536.410208000001</v>
      </c>
      <c r="F5" s="15">
        <v>4237.4995790000003</v>
      </c>
      <c r="G5" s="19">
        <v>197974</v>
      </c>
      <c r="H5" s="15">
        <v>26432.260742999999</v>
      </c>
      <c r="I5" s="15">
        <v>5184.4570480000002</v>
      </c>
      <c r="J5" s="19">
        <v>203577</v>
      </c>
      <c r="K5" s="15">
        <v>28223.050077</v>
      </c>
      <c r="L5" s="15">
        <v>5239.0718230000002</v>
      </c>
      <c r="M5" s="19">
        <v>200373</v>
      </c>
      <c r="N5" s="15">
        <v>30539.683217999998</v>
      </c>
      <c r="O5" s="24">
        <v>5752.4565739999998</v>
      </c>
      <c r="P5" s="15"/>
    </row>
    <row r="6" spans="1:18" ht="13.35" customHeight="1">
      <c r="A6" s="49"/>
      <c r="B6" s="16" t="s">
        <v>12</v>
      </c>
      <c r="C6" s="16"/>
      <c r="D6" s="19">
        <f t="shared" ref="D6:O6" si="0">D37</f>
        <v>1673707</v>
      </c>
      <c r="E6" s="15">
        <f t="shared" si="0"/>
        <v>339944.47275900003</v>
      </c>
      <c r="F6" s="15">
        <f t="shared" si="0"/>
        <v>79542.252271999998</v>
      </c>
      <c r="G6" s="19">
        <f t="shared" si="0"/>
        <v>1786354</v>
      </c>
      <c r="H6" s="15">
        <f t="shared" si="0"/>
        <v>384095.76445799996</v>
      </c>
      <c r="I6" s="15">
        <f t="shared" si="0"/>
        <v>88791.029633000027</v>
      </c>
      <c r="J6" s="19">
        <f t="shared" si="0"/>
        <v>1841887</v>
      </c>
      <c r="K6" s="15">
        <f t="shared" si="0"/>
        <v>395008.17737699999</v>
      </c>
      <c r="L6" s="15">
        <f t="shared" si="0"/>
        <v>87712.527723000007</v>
      </c>
      <c r="M6" s="19">
        <f t="shared" si="0"/>
        <v>1820063</v>
      </c>
      <c r="N6" s="15">
        <f t="shared" si="0"/>
        <v>419449.98508099996</v>
      </c>
      <c r="O6" s="24">
        <f t="shared" si="0"/>
        <v>93257.909640000013</v>
      </c>
      <c r="P6" s="15"/>
    </row>
    <row r="7" spans="1:18" ht="13.35" customHeight="1">
      <c r="A7" s="49"/>
      <c r="B7" s="16" t="s">
        <v>70</v>
      </c>
      <c r="C7" s="16"/>
      <c r="D7" s="19">
        <v>629469</v>
      </c>
      <c r="E7" s="15">
        <v>94963.358422999998</v>
      </c>
      <c r="F7" s="15">
        <v>18796.237162000001</v>
      </c>
      <c r="G7" s="19">
        <v>670435</v>
      </c>
      <c r="H7" s="15">
        <v>109758.093643</v>
      </c>
      <c r="I7" s="15">
        <v>21705.245765</v>
      </c>
      <c r="J7" s="19">
        <v>693858</v>
      </c>
      <c r="K7" s="15">
        <v>112834.157712</v>
      </c>
      <c r="L7" s="15">
        <v>21910.645807000001</v>
      </c>
      <c r="M7" s="19">
        <v>669835</v>
      </c>
      <c r="N7" s="15">
        <v>118824.615858</v>
      </c>
      <c r="O7" s="24">
        <v>23087.806794</v>
      </c>
      <c r="P7" s="15"/>
    </row>
    <row r="8" spans="1:18" ht="13.35" customHeight="1">
      <c r="A8" s="49"/>
      <c r="B8" s="16" t="s">
        <v>13</v>
      </c>
      <c r="C8" s="16"/>
      <c r="D8" s="19">
        <v>167468</v>
      </c>
      <c r="E8" s="15">
        <v>22074.429577999999</v>
      </c>
      <c r="F8" s="15">
        <v>3896.1030759999999</v>
      </c>
      <c r="G8" s="19">
        <v>182962</v>
      </c>
      <c r="H8" s="15">
        <v>27346.127945</v>
      </c>
      <c r="I8" s="15">
        <v>4936.1176519999999</v>
      </c>
      <c r="J8" s="19">
        <v>199914</v>
      </c>
      <c r="K8" s="15">
        <v>31737.725696000001</v>
      </c>
      <c r="L8" s="15">
        <v>5566.5662119999997</v>
      </c>
      <c r="M8" s="19">
        <v>206857</v>
      </c>
      <c r="N8" s="15">
        <v>35666.156950999997</v>
      </c>
      <c r="O8" s="24">
        <v>6109.9382949999999</v>
      </c>
      <c r="P8" s="15"/>
    </row>
    <row r="9" spans="1:18" ht="13.35" customHeight="1">
      <c r="A9" s="49"/>
      <c r="B9" s="16" t="s">
        <v>14</v>
      </c>
      <c r="C9" s="16"/>
      <c r="D9" s="19">
        <v>201340</v>
      </c>
      <c r="E9" s="15">
        <v>31421.538153000001</v>
      </c>
      <c r="F9" s="15">
        <v>6528.498055</v>
      </c>
      <c r="G9" s="19">
        <v>224505</v>
      </c>
      <c r="H9" s="15">
        <v>39258.751787000001</v>
      </c>
      <c r="I9" s="15">
        <v>8236.0283639999998</v>
      </c>
      <c r="J9" s="19">
        <v>241842</v>
      </c>
      <c r="K9" s="15">
        <v>42714.508772000001</v>
      </c>
      <c r="L9" s="15">
        <v>8513.7881410000009</v>
      </c>
      <c r="M9" s="19">
        <v>254608</v>
      </c>
      <c r="N9" s="15">
        <v>47482.301125999998</v>
      </c>
      <c r="O9" s="24">
        <v>9456.8840810000002</v>
      </c>
      <c r="P9" s="15"/>
    </row>
    <row r="10" spans="1:18" s="1" customFormat="1" ht="13.35" customHeight="1">
      <c r="A10" s="26"/>
      <c r="B10" s="16" t="s">
        <v>15</v>
      </c>
      <c r="C10" s="16"/>
      <c r="D10" s="19">
        <v>169858</v>
      </c>
      <c r="E10" s="15">
        <v>23618.022056999998</v>
      </c>
      <c r="F10" s="15">
        <v>4700.7681309999998</v>
      </c>
      <c r="G10" s="19">
        <v>187684</v>
      </c>
      <c r="H10" s="15">
        <v>28402.604583</v>
      </c>
      <c r="I10" s="15">
        <v>5604.6392560000004</v>
      </c>
      <c r="J10" s="19">
        <v>202030</v>
      </c>
      <c r="K10" s="15">
        <v>30431.525686000001</v>
      </c>
      <c r="L10" s="15">
        <v>5635.2932860000001</v>
      </c>
      <c r="M10" s="19">
        <v>203037</v>
      </c>
      <c r="N10" s="15">
        <v>33187.224146</v>
      </c>
      <c r="O10" s="24">
        <v>6244.6478370000004</v>
      </c>
      <c r="P10" s="15"/>
    </row>
    <row r="11" spans="1:18" s="51" customFormat="1" ht="13.35" customHeight="1">
      <c r="A11" s="49"/>
      <c r="B11" s="16" t="s">
        <v>16</v>
      </c>
      <c r="C11" s="16"/>
      <c r="D11" s="19">
        <v>61404</v>
      </c>
      <c r="E11" s="15">
        <v>7370.1746970000004</v>
      </c>
      <c r="F11" s="15">
        <v>1448.265179</v>
      </c>
      <c r="G11" s="19">
        <v>68474</v>
      </c>
      <c r="H11" s="15">
        <v>9114.375736</v>
      </c>
      <c r="I11" s="15">
        <v>1777.932947</v>
      </c>
      <c r="J11" s="19">
        <v>73704</v>
      </c>
      <c r="K11" s="15">
        <v>9903.7209600000006</v>
      </c>
      <c r="L11" s="15">
        <v>1793.1194459999999</v>
      </c>
      <c r="M11" s="19">
        <v>74986</v>
      </c>
      <c r="N11" s="15">
        <v>11183.148976</v>
      </c>
      <c r="O11" s="24">
        <v>2064.825546</v>
      </c>
      <c r="P11" s="15"/>
      <c r="Q11" s="6"/>
      <c r="R11" s="6"/>
    </row>
    <row r="12" spans="1:18" s="1" customFormat="1" ht="13.35" customHeight="1">
      <c r="A12" s="26"/>
      <c r="B12" s="16" t="s">
        <v>17</v>
      </c>
      <c r="C12" s="16"/>
      <c r="D12" s="19">
        <v>709882</v>
      </c>
      <c r="E12" s="15">
        <v>108830.003287</v>
      </c>
      <c r="F12" s="15">
        <v>22796.677844999998</v>
      </c>
      <c r="G12" s="19">
        <v>747063</v>
      </c>
      <c r="H12" s="15">
        <v>121878.98712200001</v>
      </c>
      <c r="I12" s="15">
        <v>25351.350767</v>
      </c>
      <c r="J12" s="19">
        <v>756482</v>
      </c>
      <c r="K12" s="15">
        <v>124508.175265</v>
      </c>
      <c r="L12" s="15">
        <v>24912.579834</v>
      </c>
      <c r="M12" s="19">
        <v>725940</v>
      </c>
      <c r="N12" s="15">
        <v>130703.62235799999</v>
      </c>
      <c r="O12" s="24">
        <v>26340.382218999999</v>
      </c>
      <c r="P12" s="15"/>
    </row>
    <row r="13" spans="1:18" s="1" customFormat="1" ht="13.35" customHeight="1">
      <c r="A13" s="100"/>
      <c r="B13" s="101" t="s">
        <v>9</v>
      </c>
      <c r="C13" s="102"/>
      <c r="D13" s="108">
        <f t="shared" ref="D13:M13" si="1">SUM(D4:D12)</f>
        <v>4123231</v>
      </c>
      <c r="E13" s="109">
        <f t="shared" si="1"/>
        <v>692570.49087600003</v>
      </c>
      <c r="F13" s="109">
        <f t="shared" si="1"/>
        <v>149523.961156</v>
      </c>
      <c r="G13" s="108">
        <f t="shared" si="1"/>
        <v>4420407</v>
      </c>
      <c r="H13" s="109">
        <f t="shared" si="1"/>
        <v>796819.29525199987</v>
      </c>
      <c r="I13" s="109">
        <f t="shared" si="1"/>
        <v>170532.18327400001</v>
      </c>
      <c r="J13" s="108">
        <f t="shared" si="1"/>
        <v>4584519</v>
      </c>
      <c r="K13" s="109">
        <f>SUM(K4:K12)</f>
        <v>830156.5410369999</v>
      </c>
      <c r="L13" s="109">
        <f>SUM(L4:L12)</f>
        <v>170551.41919800002</v>
      </c>
      <c r="M13" s="108">
        <f t="shared" si="1"/>
        <v>4522692</v>
      </c>
      <c r="N13" s="109">
        <f>SUM(N4:N12)</f>
        <v>885241.04371599993</v>
      </c>
      <c r="O13" s="110">
        <f>SUM(O4:O12)</f>
        <v>182162.96044900001</v>
      </c>
      <c r="P13" s="95"/>
    </row>
    <row r="14" spans="1:18" s="1" customFormat="1" ht="13.35" customHeight="1">
      <c r="A14" s="100"/>
      <c r="B14" s="101" t="s">
        <v>92</v>
      </c>
      <c r="C14" s="102"/>
      <c r="D14" s="108"/>
      <c r="E14" s="109"/>
      <c r="F14" s="109"/>
      <c r="G14" s="108"/>
      <c r="H14" s="109"/>
      <c r="I14" s="109"/>
      <c r="J14" s="108"/>
      <c r="K14" s="109"/>
      <c r="L14" s="109"/>
      <c r="M14" s="108"/>
      <c r="N14" s="109"/>
      <c r="O14" s="110"/>
      <c r="P14" s="95"/>
    </row>
    <row r="15" spans="1:18" customFormat="1" ht="13.35" customHeight="1">
      <c r="A15" s="49"/>
      <c r="B15" s="16" t="s">
        <v>10</v>
      </c>
      <c r="C15" s="16"/>
      <c r="D15" s="62">
        <f>A2.1.3!D4/A2.1.3!D$13</f>
        <v>7.945686283402506E-2</v>
      </c>
      <c r="E15" s="58">
        <f>A2.1.3!E4/A2.1.3!E$13</f>
        <v>6.1816208282060935E-2</v>
      </c>
      <c r="F15" s="58">
        <f>A2.1.3!F4/A2.1.3!F$13</f>
        <v>5.0678565484859939E-2</v>
      </c>
      <c r="G15" s="62">
        <f>A2.1.3!G4/A2.1.3!G$13</f>
        <v>8.0299393245916048E-2</v>
      </c>
      <c r="H15" s="58">
        <f>A2.1.3!H4/A2.1.3!H$13</f>
        <v>6.3417552180408468E-2</v>
      </c>
      <c r="I15" s="58">
        <f>A2.1.3!I4/A2.1.3!I$13</f>
        <v>5.245568121078438E-2</v>
      </c>
      <c r="J15" s="62">
        <f>A2.1.3!J4/A2.1.3!J$13</f>
        <v>8.0973598320783491E-2</v>
      </c>
      <c r="K15" s="58">
        <f>A2.1.3!K4/A2.1.3!K$13</f>
        <v>6.6006225071179411E-2</v>
      </c>
      <c r="L15" s="58">
        <f>A2.1.3!L4/A2.1.3!L$13</f>
        <v>5.4340368257156546E-2</v>
      </c>
      <c r="M15" s="62">
        <f>A2.1.3!M4/A2.1.3!M$13</f>
        <v>8.1144813752517309E-2</v>
      </c>
      <c r="N15" s="58">
        <f>A2.1.3!N4/A2.1.3!N$13</f>
        <v>6.5749669443335157E-2</v>
      </c>
      <c r="O15" s="59">
        <f>A2.1.3!O4/A2.1.3!O$13</f>
        <v>5.4062085062331684E-2</v>
      </c>
      <c r="P15" s="58"/>
    </row>
    <row r="16" spans="1:18" customFormat="1" ht="13.35" customHeight="1">
      <c r="A16" s="49"/>
      <c r="B16" s="16" t="s">
        <v>11</v>
      </c>
      <c r="C16" s="50"/>
      <c r="D16" s="62">
        <f>A2.1.3!D5/A2.1.3!D$13</f>
        <v>4.4257525227182272E-2</v>
      </c>
      <c r="E16" s="58">
        <f>A2.1.3!E5/A2.1.3!E$13</f>
        <v>3.1096343970358313E-2</v>
      </c>
      <c r="F16" s="58">
        <f>A2.1.3!F5/A2.1.3!F$13</f>
        <v>2.8339936597713392E-2</v>
      </c>
      <c r="G16" s="62">
        <f>A2.1.3!G5/A2.1.3!G$13</f>
        <v>4.4786373743413217E-2</v>
      </c>
      <c r="H16" s="58">
        <f>A2.1.3!H5/A2.1.3!H$13</f>
        <v>3.317221470476641E-2</v>
      </c>
      <c r="I16" s="58">
        <f>A2.1.3!I5/A2.1.3!I$13</f>
        <v>3.040163415764139E-2</v>
      </c>
      <c r="J16" s="62">
        <f>A2.1.3!J5/A2.1.3!J$13</f>
        <v>4.4405312749276421E-2</v>
      </c>
      <c r="K16" s="58">
        <f>A2.1.3!K5/A2.1.3!K$13</f>
        <v>3.3997262783408103E-2</v>
      </c>
      <c r="L16" s="58">
        <f>A2.1.3!L5/A2.1.3!L$13</f>
        <v>3.0718429947028177E-2</v>
      </c>
      <c r="M16" s="62">
        <f>A2.1.3!M5/A2.1.3!M$13</f>
        <v>4.4303923415523319E-2</v>
      </c>
      <c r="N16" s="58">
        <f>A2.1.3!N5/A2.1.3!N$13</f>
        <v>3.4498720359601442E-2</v>
      </c>
      <c r="O16" s="59">
        <f>A2.1.3!O5/A2.1.3!O$13</f>
        <v>3.1578629156120405E-2</v>
      </c>
      <c r="P16" s="58"/>
    </row>
    <row r="17" spans="1:18" customFormat="1" ht="13.35" customHeight="1">
      <c r="A17" s="49"/>
      <c r="B17" s="16" t="s">
        <v>12</v>
      </c>
      <c r="C17" s="16"/>
      <c r="D17" s="62">
        <f>A2.1.3!D6/A2.1.3!D$13</f>
        <v>0.40592123021969906</v>
      </c>
      <c r="E17" s="58">
        <f>A2.1.3!E6/A2.1.3!E$13</f>
        <v>0.49084458150825944</v>
      </c>
      <c r="F17" s="58">
        <f>A2.1.3!F6/A2.1.3!F$13</f>
        <v>0.53196993750729149</v>
      </c>
      <c r="G17" s="62">
        <f>A2.1.3!G6/A2.1.3!G$13</f>
        <v>0.4041152771679169</v>
      </c>
      <c r="H17" s="58">
        <f>A2.1.3!H6/A2.1.3!H$13</f>
        <v>0.48203622420630127</v>
      </c>
      <c r="I17" s="58">
        <f>A2.1.3!I6/A2.1.3!I$13</f>
        <v>0.52067022146978781</v>
      </c>
      <c r="J17" s="62">
        <f>A2.1.3!J6/A2.1.3!J$13</f>
        <v>0.40176232228506414</v>
      </c>
      <c r="K17" s="58">
        <f>A2.1.3!K6/A2.1.3!K$13</f>
        <v>0.47582372462375688</v>
      </c>
      <c r="L17" s="58">
        <f>A2.1.3!L6/A2.1.3!L$13</f>
        <v>0.51428787948795074</v>
      </c>
      <c r="M17" s="62">
        <f>A2.1.3!M6/A2.1.3!M$13</f>
        <v>0.40242912849249962</v>
      </c>
      <c r="N17" s="58">
        <f>A2.1.3!N6/A2.1.3!N$13</f>
        <v>0.47382573148694457</v>
      </c>
      <c r="O17" s="59">
        <f>A2.1.3!O6/A2.1.3!O$13</f>
        <v>0.51194770556064462</v>
      </c>
      <c r="P17" s="58"/>
      <c r="R17" s="98">
        <f>AVERAGE(D17,G17,J17,M17)</f>
        <v>0.40355698954129493</v>
      </c>
    </row>
    <row r="18" spans="1:18" customFormat="1" ht="13.35" customHeight="1">
      <c r="A18" s="49"/>
      <c r="B18" s="16" t="s">
        <v>70</v>
      </c>
      <c r="C18" s="16"/>
      <c r="D18" s="62">
        <f>A2.1.3!D7/A2.1.3!D$13</f>
        <v>0.15266401518614892</v>
      </c>
      <c r="E18" s="58">
        <f>A2.1.3!E7/A2.1.3!E$13</f>
        <v>0.13711724607683659</v>
      </c>
      <c r="F18" s="58">
        <f>A2.1.3!F7/A2.1.3!F$13</f>
        <v>0.12570719111962048</v>
      </c>
      <c r="G18" s="62">
        <f>A2.1.3!G7/A2.1.3!G$13</f>
        <v>0.15166816087296939</v>
      </c>
      <c r="H18" s="58">
        <f>A2.1.3!H7/A2.1.3!H$13</f>
        <v>0.13774527586996774</v>
      </c>
      <c r="I18" s="58">
        <f>A2.1.3!I7/A2.1.3!I$13</f>
        <v>0.12727946917870292</v>
      </c>
      <c r="J18" s="62">
        <f>A2.1.3!J7/A2.1.3!J$13</f>
        <v>0.15134804763596793</v>
      </c>
      <c r="K18" s="58">
        <f>A2.1.3!K7/A2.1.3!K$13</f>
        <v>0.13591913348180318</v>
      </c>
      <c r="L18" s="58">
        <f>A2.1.3!L7/A2.1.3!L$13</f>
        <v>0.12846944288140486</v>
      </c>
      <c r="M18" s="62">
        <f>A2.1.3!M7/A2.1.3!M$13</f>
        <v>0.14810537617861222</v>
      </c>
      <c r="N18" s="58">
        <f>A2.1.3!N7/A2.1.3!N$13</f>
        <v>0.13422854340237858</v>
      </c>
      <c r="O18" s="59">
        <f>A2.1.3!O7/A2.1.3!O$13</f>
        <v>0.12674259760103027</v>
      </c>
      <c r="P18" s="58"/>
    </row>
    <row r="19" spans="1:18" customFormat="1" ht="13.35" customHeight="1">
      <c r="A19" s="49"/>
      <c r="B19" s="16" t="s">
        <v>13</v>
      </c>
      <c r="C19" s="16"/>
      <c r="D19" s="62">
        <f>A2.1.3!D8/A2.1.3!D$13</f>
        <v>4.0615721020723798E-2</v>
      </c>
      <c r="E19" s="58">
        <f>A2.1.3!E8/A2.1.3!E$13</f>
        <v>3.1873188171905917E-2</v>
      </c>
      <c r="F19" s="58">
        <f>A2.1.3!F8/A2.1.3!F$13</f>
        <v>2.6056713893067296E-2</v>
      </c>
      <c r="G19" s="62">
        <f>A2.1.3!G8/A2.1.3!G$13</f>
        <v>4.1390306367716817E-2</v>
      </c>
      <c r="H19" s="58">
        <f>A2.1.3!H8/A2.1.3!H$13</f>
        <v>3.4319108620922127E-2</v>
      </c>
      <c r="I19" s="58">
        <f>A2.1.3!I8/A2.1.3!I$13</f>
        <v>2.8945372991964615E-2</v>
      </c>
      <c r="J19" s="62">
        <f>A2.1.3!J8/A2.1.3!J$13</f>
        <v>4.3606319441581547E-2</v>
      </c>
      <c r="K19" s="58">
        <f>A2.1.3!K8/A2.1.3!K$13</f>
        <v>3.8231013221138324E-2</v>
      </c>
      <c r="L19" s="58">
        <f>A2.1.3!L8/A2.1.3!L$13</f>
        <v>3.2638639057805487E-2</v>
      </c>
      <c r="M19" s="62">
        <f>A2.1.3!M8/A2.1.3!M$13</f>
        <v>4.5737582837831983E-2</v>
      </c>
      <c r="N19" s="58">
        <f>A2.1.3!N8/A2.1.3!N$13</f>
        <v>4.0289768763187052E-2</v>
      </c>
      <c r="O19" s="59">
        <f>A2.1.3!O8/A2.1.3!O$13</f>
        <v>3.3541057303526828E-2</v>
      </c>
      <c r="P19" s="58"/>
    </row>
    <row r="20" spans="1:18" customFormat="1" ht="13.35" customHeight="1">
      <c r="A20" s="49"/>
      <c r="B20" s="16" t="s">
        <v>14</v>
      </c>
      <c r="C20" s="16"/>
      <c r="D20" s="62">
        <f>A2.1.3!D9/A2.1.3!D$13</f>
        <v>4.8830637914780907E-2</v>
      </c>
      <c r="E20" s="58">
        <f>A2.1.3!E9/A2.1.3!E$13</f>
        <v>4.5369444073853578E-2</v>
      </c>
      <c r="F20" s="58">
        <f>A2.1.3!F9/A2.1.3!F$13</f>
        <v>4.366188538965167E-2</v>
      </c>
      <c r="G20" s="62">
        <f>A2.1.3!G9/A2.1.3!G$13</f>
        <v>5.0788309764236643E-2</v>
      </c>
      <c r="H20" s="58">
        <f>A2.1.3!H9/A2.1.3!H$13</f>
        <v>4.9269328718482074E-2</v>
      </c>
      <c r="I20" s="58">
        <f>A2.1.3!I9/A2.1.3!I$13</f>
        <v>4.8296035422046323E-2</v>
      </c>
      <c r="J20" s="62">
        <f>A2.1.3!J9/A2.1.3!J$13</f>
        <v>5.2751880840716331E-2</v>
      </c>
      <c r="K20" s="58">
        <f>A2.1.3!K9/A2.1.3!K$13</f>
        <v>5.1453559251177693E-2</v>
      </c>
      <c r="L20" s="58">
        <f>A2.1.3!L9/A2.1.3!L$13</f>
        <v>4.991918672406942E-2</v>
      </c>
      <c r="M20" s="62">
        <f>A2.1.3!M9/A2.1.3!M$13</f>
        <v>5.6295675230592757E-2</v>
      </c>
      <c r="N20" s="58">
        <f>A2.1.3!N9/A2.1.3!N$13</f>
        <v>5.3637708580119917E-2</v>
      </c>
      <c r="O20" s="59">
        <f>A2.1.3!O9/A2.1.3!O$13</f>
        <v>5.1914418044647637E-2</v>
      </c>
      <c r="P20" s="58"/>
    </row>
    <row r="21" spans="1:18" customFormat="1" ht="13.35" customHeight="1">
      <c r="A21" s="26"/>
      <c r="B21" s="16" t="s">
        <v>15</v>
      </c>
      <c r="C21" s="16"/>
      <c r="D21" s="62">
        <f>A2.1.3!D10/A2.1.3!D$13</f>
        <v>4.1195363538933424E-2</v>
      </c>
      <c r="E21" s="58">
        <f>A2.1.3!E10/A2.1.3!E$13</f>
        <v>3.4101975709543542E-2</v>
      </c>
      <c r="F21" s="58">
        <f>A2.1.3!F10/A2.1.3!F$13</f>
        <v>3.1438226319430079E-2</v>
      </c>
      <c r="G21" s="62">
        <f>A2.1.3!G10/A2.1.3!G$13</f>
        <v>4.2458533795643703E-2</v>
      </c>
      <c r="H21" s="58">
        <f>A2.1.3!H10/A2.1.3!H$13</f>
        <v>3.5644975908894712E-2</v>
      </c>
      <c r="I21" s="58">
        <f>A2.1.3!I10/A2.1.3!I$13</f>
        <v>3.2865580844612954E-2</v>
      </c>
      <c r="J21" s="62">
        <f>A2.1.3!J10/A2.1.3!J$13</f>
        <v>4.4067872769204361E-2</v>
      </c>
      <c r="K21" s="58">
        <f>A2.1.3!K10/A2.1.3!K$13</f>
        <v>3.6657575025532053E-2</v>
      </c>
      <c r="L21" s="58">
        <f>A2.1.3!L10/A2.1.3!L$13</f>
        <v>3.3041608873730692E-2</v>
      </c>
      <c r="M21" s="62">
        <f>A2.1.3!M10/A2.1.3!M$13</f>
        <v>4.4892953134991281E-2</v>
      </c>
      <c r="N21" s="58">
        <f>A2.1.3!N10/A2.1.3!N$13</f>
        <v>3.7489477449767925E-2</v>
      </c>
      <c r="O21" s="59">
        <f>A2.1.3!O10/A2.1.3!O$13</f>
        <v>3.428055748329973E-2</v>
      </c>
      <c r="P21" s="58"/>
    </row>
    <row r="22" spans="1:18" s="1" customFormat="1" ht="13.35" customHeight="1">
      <c r="A22" s="49"/>
      <c r="B22" s="16" t="s">
        <v>16</v>
      </c>
      <c r="C22" s="16"/>
      <c r="D22" s="62">
        <f>A2.1.3!D11/A2.1.3!D$13</f>
        <v>1.4892204681231782E-2</v>
      </c>
      <c r="E22" s="58">
        <f>A2.1.3!E11/A2.1.3!E$13</f>
        <v>1.0641768302426243E-2</v>
      </c>
      <c r="F22" s="58">
        <f>A2.1.3!F11/A2.1.3!F$13</f>
        <v>9.6858401008317919E-3</v>
      </c>
      <c r="G22" s="62">
        <f>A2.1.3!G11/A2.1.3!G$13</f>
        <v>1.5490428822504353E-2</v>
      </c>
      <c r="H22" s="58">
        <f>A2.1.3!H11/A2.1.3!H$13</f>
        <v>1.1438447575641993E-2</v>
      </c>
      <c r="I22" s="58">
        <f>A2.1.3!I11/A2.1.3!I$13</f>
        <v>1.0425791266293314E-2</v>
      </c>
      <c r="J22" s="62">
        <f>A2.1.3!J11/A2.1.3!J$13</f>
        <v>1.6076713827557484E-2</v>
      </c>
      <c r="K22" s="58">
        <f>A2.1.3!K11/A2.1.3!K$13</f>
        <v>1.1929943896639844E-2</v>
      </c>
      <c r="L22" s="58">
        <f>A2.1.3!L11/A2.1.3!L$13</f>
        <v>1.0513658897896917E-2</v>
      </c>
      <c r="M22" s="62">
        <f>A2.1.3!M11/A2.1.3!M$13</f>
        <v>1.657994840241166E-2</v>
      </c>
      <c r="N22" s="58">
        <f>A2.1.3!N11/A2.1.3!N$13</f>
        <v>1.2632885760759802E-2</v>
      </c>
      <c r="O22" s="59">
        <f>A2.1.3!O11/A2.1.3!O$13</f>
        <v>1.1335046053877057E-2</v>
      </c>
      <c r="P22" s="58"/>
    </row>
    <row r="23" spans="1:18" customFormat="1" ht="13.35" customHeight="1">
      <c r="A23" s="26"/>
      <c r="B23" s="16" t="s">
        <v>17</v>
      </c>
      <c r="C23" s="16"/>
      <c r="D23" s="62">
        <f>A2.1.3!D12/A2.1.3!D$13</f>
        <v>0.17216643937727477</v>
      </c>
      <c r="E23" s="58">
        <f>A2.1.3!E12/A2.1.3!E$13</f>
        <v>0.15713924390475548</v>
      </c>
      <c r="F23" s="58">
        <f>A2.1.3!F12/A2.1.3!F$13</f>
        <v>0.15246170358753386</v>
      </c>
      <c r="G23" s="62">
        <f>A2.1.3!G12/A2.1.3!G$13</f>
        <v>0.16900321621968295</v>
      </c>
      <c r="H23" s="58">
        <f>A2.1.3!H12/A2.1.3!H$13</f>
        <v>0.15295687221461535</v>
      </c>
      <c r="I23" s="58">
        <f>A2.1.3!I12/A2.1.3!I$13</f>
        <v>0.14866021345816643</v>
      </c>
      <c r="J23" s="62">
        <f>A2.1.3!J12/A2.1.3!J$13</f>
        <v>0.16500793212984829</v>
      </c>
      <c r="K23" s="58">
        <f>A2.1.3!K12/A2.1.3!K$13</f>
        <v>0.14998156264536461</v>
      </c>
      <c r="L23" s="58">
        <f>A2.1.3!L12/A2.1.3!L$13</f>
        <v>0.14607078587295708</v>
      </c>
      <c r="M23" s="62">
        <f>A2.1.3!M12/A2.1.3!M$13</f>
        <v>0.1605105985550199</v>
      </c>
      <c r="N23" s="58">
        <f>A2.1.3!N12/A2.1.3!N$13</f>
        <v>0.14764749475390557</v>
      </c>
      <c r="O23" s="59">
        <f>A2.1.3!O12/A2.1.3!O$13</f>
        <v>0.14459790373452178</v>
      </c>
      <c r="P23" s="58"/>
      <c r="R23" s="98">
        <f>AVERAGE(D23,G23,J23,M23)</f>
        <v>0.16667204657045648</v>
      </c>
    </row>
    <row r="24" spans="1:18" customFormat="1" ht="13.35" customHeight="1">
      <c r="A24" s="88"/>
      <c r="B24" s="75" t="s">
        <v>9</v>
      </c>
      <c r="C24" s="89"/>
      <c r="D24" s="63">
        <f>A2.1.3!D13/A2.1.3!D$13</f>
        <v>1</v>
      </c>
      <c r="E24" s="60">
        <f>A2.1.3!E13/A2.1.3!E$13</f>
        <v>1</v>
      </c>
      <c r="F24" s="60">
        <f>A2.1.3!F13/A2.1.3!F$13</f>
        <v>1</v>
      </c>
      <c r="G24" s="63">
        <f>A2.1.3!G13/A2.1.3!G$13</f>
        <v>1</v>
      </c>
      <c r="H24" s="60">
        <f>A2.1.3!H13/A2.1.3!H$13</f>
        <v>1</v>
      </c>
      <c r="I24" s="60">
        <f>A2.1.3!I13/A2.1.3!I$13</f>
        <v>1</v>
      </c>
      <c r="J24" s="63">
        <f>A2.1.3!J13/A2.1.3!J$13</f>
        <v>1</v>
      </c>
      <c r="K24" s="60">
        <f>A2.1.3!K13/A2.1.3!K$13</f>
        <v>1</v>
      </c>
      <c r="L24" s="60">
        <f>A2.1.3!L13/A2.1.3!L$13</f>
        <v>1</v>
      </c>
      <c r="M24" s="63">
        <f>A2.1.3!M13/A2.1.3!M$13</f>
        <v>1</v>
      </c>
      <c r="N24" s="60">
        <f>A2.1.3!N13/A2.1.3!N$13</f>
        <v>1</v>
      </c>
      <c r="O24" s="61">
        <f>A2.1.3!O13/A2.1.3!O$13</f>
        <v>1</v>
      </c>
      <c r="P24" s="96"/>
    </row>
    <row r="25" spans="1:18" customFormat="1" ht="12" customHeight="1">
      <c r="A25" s="1"/>
      <c r="B25" s="29" t="s">
        <v>215</v>
      </c>
      <c r="C25" s="106"/>
      <c r="D25" s="106"/>
      <c r="E25" s="106"/>
      <c r="F25" s="106"/>
      <c r="G25" s="68"/>
      <c r="H25" s="6"/>
      <c r="I25" s="6"/>
      <c r="J25" s="6"/>
      <c r="K25" s="6"/>
      <c r="L25" s="6"/>
      <c r="M25" s="6"/>
      <c r="N25" s="6"/>
      <c r="O25" s="6"/>
      <c r="P25" s="6"/>
    </row>
    <row r="26" spans="1:18" customFormat="1" ht="12" customHeight="1">
      <c r="A26" s="1"/>
      <c r="B26" s="107" t="s">
        <v>216</v>
      </c>
      <c r="C26" s="106"/>
      <c r="D26" s="106"/>
      <c r="E26" s="106"/>
      <c r="F26" s="106"/>
      <c r="G26" s="68"/>
      <c r="H26" s="6"/>
      <c r="I26" s="6"/>
      <c r="J26" s="6"/>
      <c r="K26" s="6"/>
      <c r="L26" s="6"/>
      <c r="M26" s="6"/>
      <c r="N26" s="6"/>
      <c r="O26" s="6"/>
      <c r="P26" s="6"/>
    </row>
    <row r="27" spans="1:18" s="1" customFormat="1" ht="12" customHeight="1">
      <c r="B27" s="29"/>
    </row>
    <row r="28" spans="1:18" s="1" customFormat="1" ht="13.35" customHeight="1">
      <c r="B28" s="29"/>
      <c r="H28" s="560" t="s">
        <v>506</v>
      </c>
    </row>
    <row r="29" spans="1:18" s="1" customFormat="1" ht="13.35" customHeight="1">
      <c r="B29" s="29"/>
    </row>
    <row r="30" spans="1:18" s="1" customFormat="1" ht="13.35" customHeight="1">
      <c r="B30" s="29"/>
      <c r="F30" s="220"/>
      <c r="I30" s="220"/>
      <c r="L30" s="220"/>
      <c r="O30" s="220"/>
    </row>
    <row r="31" spans="1:18" s="28" customFormat="1" ht="13.35" customHeight="1">
      <c r="C31" s="123" t="s">
        <v>264</v>
      </c>
      <c r="D31" s="171">
        <f>D13-A2.1.1!D29</f>
        <v>0</v>
      </c>
      <c r="E31" s="171">
        <f>E13-A2.1.1!E29</f>
        <v>0</v>
      </c>
      <c r="F31" s="171">
        <f>F13-A2.1.1!F29</f>
        <v>8.900000830180943E-5</v>
      </c>
      <c r="G31" s="171">
        <f>G13-A2.1.1!G29</f>
        <v>0</v>
      </c>
      <c r="H31" s="171">
        <f>H13-A2.1.1!H29</f>
        <v>0</v>
      </c>
      <c r="I31" s="171">
        <f>I13-A2.1.1!I29</f>
        <v>-2.9000017093494534E-5</v>
      </c>
      <c r="J31" s="171">
        <f>J13-A2.1.1!J29</f>
        <v>0</v>
      </c>
      <c r="K31" s="171">
        <f>K13-A2.1.1!K29</f>
        <v>0</v>
      </c>
      <c r="L31" s="171">
        <f>L13-A2.1.1!L29</f>
        <v>4.4999964302405715E-5</v>
      </c>
      <c r="M31" s="171">
        <f>M13-A2.1.1!M29</f>
        <v>0</v>
      </c>
      <c r="N31" s="171">
        <f>N13-A2.1.1!N29</f>
        <v>0</v>
      </c>
      <c r="O31" s="172">
        <f>O13-A2.1.1!O29</f>
        <v>1.9999861251562834E-6</v>
      </c>
      <c r="P31" s="72"/>
    </row>
    <row r="32" spans="1:18" customFormat="1" ht="13.35" customHeight="1">
      <c r="C32" s="123" t="s">
        <v>239</v>
      </c>
      <c r="D32" s="171"/>
      <c r="E32" s="171"/>
      <c r="F32" s="171"/>
      <c r="G32" s="171"/>
      <c r="H32" s="172"/>
      <c r="P32" s="1"/>
    </row>
    <row r="33" spans="3:17" customFormat="1" ht="13.35" customHeight="1">
      <c r="H33" s="1"/>
      <c r="P33" s="1"/>
    </row>
    <row r="34" spans="3:17" customFormat="1" ht="13.35" customHeight="1">
      <c r="H34" s="1"/>
      <c r="I34" s="43"/>
      <c r="J34" s="43"/>
      <c r="M34" s="43"/>
      <c r="N34" s="97"/>
      <c r="P34" s="6"/>
      <c r="Q34" s="6"/>
    </row>
    <row r="35" spans="3:17" customFormat="1" ht="13.35" customHeight="1">
      <c r="H35" s="1"/>
      <c r="I35" s="43"/>
      <c r="J35" s="43"/>
      <c r="M35" s="43"/>
      <c r="N35" s="97"/>
      <c r="P35" s="6"/>
      <c r="Q35" s="6"/>
    </row>
    <row r="36" spans="3:17" customFormat="1" ht="12.75" customHeight="1">
      <c r="C36" s="2"/>
      <c r="D36" s="2"/>
      <c r="E36" s="2"/>
      <c r="F36" s="2"/>
      <c r="G36" s="14"/>
      <c r="H36" s="6"/>
      <c r="I36" s="6"/>
      <c r="J36" s="6"/>
      <c r="K36" s="6"/>
      <c r="L36" s="6"/>
      <c r="M36" s="6"/>
      <c r="N36" s="6"/>
      <c r="O36" s="6"/>
      <c r="P36" s="6"/>
      <c r="Q36" s="6"/>
    </row>
    <row r="37" spans="3:17" ht="13.35" customHeight="1">
      <c r="C37" s="252" t="s">
        <v>12</v>
      </c>
      <c r="D37" s="253">
        <f t="shared" ref="D37:O37" si="2">SUM(D38:D43)</f>
        <v>1673707</v>
      </c>
      <c r="E37" s="253">
        <f t="shared" si="2"/>
        <v>339944.47275900003</v>
      </c>
      <c r="F37" s="253">
        <f t="shared" si="2"/>
        <v>79542.252271999998</v>
      </c>
      <c r="G37" s="253">
        <f t="shared" si="2"/>
        <v>1786354</v>
      </c>
      <c r="H37" s="253">
        <f t="shared" si="2"/>
        <v>384095.76445799996</v>
      </c>
      <c r="I37" s="253">
        <f t="shared" si="2"/>
        <v>88791.029633000027</v>
      </c>
      <c r="J37" s="253">
        <f t="shared" si="2"/>
        <v>1841887</v>
      </c>
      <c r="K37" s="253">
        <f t="shared" si="2"/>
        <v>395008.17737699999</v>
      </c>
      <c r="L37" s="253">
        <f t="shared" si="2"/>
        <v>87712.527723000007</v>
      </c>
      <c r="M37" s="253">
        <f t="shared" si="2"/>
        <v>1820063</v>
      </c>
      <c r="N37" s="253">
        <f t="shared" si="2"/>
        <v>419449.98508099996</v>
      </c>
      <c r="O37" s="254">
        <f t="shared" si="2"/>
        <v>93257.909640000013</v>
      </c>
    </row>
    <row r="38" spans="3:17" ht="13.35" customHeight="1">
      <c r="C38" s="259" t="s">
        <v>258</v>
      </c>
      <c r="D38" s="175">
        <v>828372</v>
      </c>
      <c r="E38" s="175">
        <v>180502.279052</v>
      </c>
      <c r="F38" s="175">
        <v>43927.662773999997</v>
      </c>
      <c r="G38" s="175">
        <v>886356</v>
      </c>
      <c r="H38" s="175">
        <v>203640.21984899999</v>
      </c>
      <c r="I38" s="175">
        <v>48912.493375999999</v>
      </c>
      <c r="J38" s="175">
        <v>911426</v>
      </c>
      <c r="K38" s="175">
        <v>206723.56428200001</v>
      </c>
      <c r="L38" s="175">
        <v>47606.307732000001</v>
      </c>
      <c r="M38" s="175">
        <v>895971</v>
      </c>
      <c r="N38" s="175">
        <v>218434.812126</v>
      </c>
      <c r="O38" s="176">
        <v>50471.602959999997</v>
      </c>
    </row>
    <row r="39" spans="3:17" ht="13.35" customHeight="1">
      <c r="C39" s="260" t="s">
        <v>259</v>
      </c>
      <c r="D39" s="255">
        <v>497717</v>
      </c>
      <c r="E39" s="255">
        <v>93862.963266999999</v>
      </c>
      <c r="F39" s="255">
        <v>20761.306347000002</v>
      </c>
      <c r="G39" s="255">
        <v>528299</v>
      </c>
      <c r="H39" s="255">
        <v>107543.49449500001</v>
      </c>
      <c r="I39" s="255">
        <v>23753.636095999998</v>
      </c>
      <c r="J39" s="255">
        <v>549237</v>
      </c>
      <c r="K39" s="255">
        <v>113925.902373</v>
      </c>
      <c r="L39" s="255">
        <v>24358.305353</v>
      </c>
      <c r="M39" s="255">
        <v>546645</v>
      </c>
      <c r="N39" s="255">
        <v>122282.018088</v>
      </c>
      <c r="O39" s="256">
        <v>26204.651886</v>
      </c>
    </row>
    <row r="40" spans="3:17" ht="13.35" customHeight="1">
      <c r="C40" s="260" t="s">
        <v>260</v>
      </c>
      <c r="D40" s="255">
        <v>345166</v>
      </c>
      <c r="E40" s="255">
        <v>58998.354738000002</v>
      </c>
      <c r="F40" s="255">
        <v>12217.516315999999</v>
      </c>
      <c r="G40" s="255">
        <v>369231</v>
      </c>
      <c r="H40" s="255">
        <v>67748.079618000003</v>
      </c>
      <c r="I40" s="255">
        <v>14038.857334</v>
      </c>
      <c r="J40" s="255">
        <v>378745</v>
      </c>
      <c r="K40" s="255">
        <v>69460.139899000002</v>
      </c>
      <c r="L40" s="255">
        <v>13800.039468000001</v>
      </c>
      <c r="M40" s="255">
        <v>374958</v>
      </c>
      <c r="N40" s="255">
        <v>74680.528242999993</v>
      </c>
      <c r="O40" s="256">
        <v>15032.181683000001</v>
      </c>
    </row>
    <row r="41" spans="3:17" ht="13.35" customHeight="1">
      <c r="C41" s="260" t="s">
        <v>261</v>
      </c>
      <c r="D41" s="255">
        <v>566</v>
      </c>
      <c r="E41" s="255">
        <v>5608.7845539999998</v>
      </c>
      <c r="F41" s="255">
        <v>2322.3337059999999</v>
      </c>
      <c r="G41" s="255">
        <v>562</v>
      </c>
      <c r="H41" s="255">
        <v>3901.9140670000002</v>
      </c>
      <c r="I41" s="255">
        <v>1667.5497680000001</v>
      </c>
      <c r="J41" s="255">
        <v>551</v>
      </c>
      <c r="K41" s="255">
        <v>3416.4404070000001</v>
      </c>
      <c r="L41" s="255">
        <v>1450.046296</v>
      </c>
      <c r="M41" s="255">
        <v>497</v>
      </c>
      <c r="N41" s="255">
        <v>2653.185747</v>
      </c>
      <c r="O41" s="256">
        <v>1081.086918</v>
      </c>
    </row>
    <row r="42" spans="3:17" ht="13.35" customHeight="1">
      <c r="C42" s="260" t="s">
        <v>262</v>
      </c>
      <c r="D42" s="255">
        <v>1886</v>
      </c>
      <c r="E42" s="255">
        <v>972.09114799999998</v>
      </c>
      <c r="F42" s="255">
        <v>313.43312900000001</v>
      </c>
      <c r="G42" s="255">
        <v>1906</v>
      </c>
      <c r="H42" s="255">
        <v>1262.056429</v>
      </c>
      <c r="I42" s="255">
        <v>418.49305600000002</v>
      </c>
      <c r="J42" s="255">
        <v>1928</v>
      </c>
      <c r="K42" s="255">
        <v>1482.130416</v>
      </c>
      <c r="L42" s="255">
        <v>497.82888200000002</v>
      </c>
      <c r="M42" s="255">
        <v>1992</v>
      </c>
      <c r="N42" s="255">
        <v>1399.440877</v>
      </c>
      <c r="O42" s="256">
        <v>468.38620200000003</v>
      </c>
    </row>
    <row r="43" spans="3:17" ht="13.35" customHeight="1">
      <c r="C43" s="261" t="s">
        <v>270</v>
      </c>
      <c r="D43" s="257">
        <v>0</v>
      </c>
      <c r="E43" s="257">
        <v>0</v>
      </c>
      <c r="F43" s="257">
        <v>0</v>
      </c>
      <c r="G43" s="257">
        <v>0</v>
      </c>
      <c r="H43" s="257">
        <v>0</v>
      </c>
      <c r="I43" s="257">
        <v>3.0000228434801102E-6</v>
      </c>
      <c r="J43" s="257">
        <v>0</v>
      </c>
      <c r="K43" s="257">
        <v>0</v>
      </c>
      <c r="L43" s="257">
        <v>-8.0000027082860504E-6</v>
      </c>
      <c r="M43" s="257">
        <v>0</v>
      </c>
      <c r="N43" s="257">
        <v>0</v>
      </c>
      <c r="O43" s="258">
        <v>-8.9999812189489603E-6</v>
      </c>
    </row>
    <row r="44" spans="3:17" ht="13.35" customHeight="1"/>
    <row r="45" spans="3:17" ht="13.35" customHeight="1"/>
  </sheetData>
  <mergeCells count="1">
    <mergeCell ref="B3:C3"/>
  </mergeCells>
  <phoneticPr fontId="7" type="noConversion"/>
  <hyperlinks>
    <hyperlink ref="H28" location="CONTENTS!A1" display="BACK TO CONTENTS"/>
  </hyperlinks>
  <pageMargins left="0.98425196850393704" right="0.98425196850393704" top="0.98425196850393704" bottom="0.98425196850393704" header="0.51181102362204722" footer="0.51181102362204722"/>
  <pageSetup paperSize="9" scale="86" orientation="landscape" r:id="rId1"/>
  <headerFooter alignWithMargins="0"/>
</worksheet>
</file>

<file path=xl/worksheets/sheet23.xml><?xml version="1.0" encoding="utf-8"?>
<worksheet xmlns="http://schemas.openxmlformats.org/spreadsheetml/2006/main" xmlns:r="http://schemas.openxmlformats.org/officeDocument/2006/relationships">
  <sheetPr codeName="Sheet59">
    <pageSetUpPr fitToPage="1"/>
  </sheetPr>
  <dimension ref="A1:R29"/>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5.7109375" style="2" customWidth="1"/>
    <col min="4" max="6" width="9.7109375" style="2" customWidth="1"/>
    <col min="7" max="7" width="9.7109375" style="14" customWidth="1"/>
    <col min="8" max="15" width="9.7109375" style="6" customWidth="1"/>
    <col min="16" max="16" width="9.140625" style="6"/>
    <col min="17" max="18" width="9.140625" style="6" customWidth="1"/>
    <col min="19" max="16384" width="9.140625" style="10"/>
  </cols>
  <sheetData>
    <row r="1" spans="1:18" s="8" customFormat="1" ht="15" customHeight="1">
      <c r="A1" s="455" t="s">
        <v>486</v>
      </c>
      <c r="B1" s="53"/>
      <c r="C1" s="53"/>
      <c r="D1" s="78"/>
      <c r="E1" s="78"/>
      <c r="F1" s="78"/>
      <c r="G1" s="66"/>
      <c r="H1" s="4"/>
      <c r="I1" s="5"/>
      <c r="J1" s="4"/>
      <c r="K1" s="4"/>
      <c r="L1" s="4"/>
      <c r="M1" s="4"/>
      <c r="N1" s="4"/>
      <c r="O1" s="4"/>
      <c r="P1" s="4"/>
      <c r="Q1" s="4"/>
      <c r="R1" s="4"/>
    </row>
    <row r="2" spans="1:18" s="8" customFormat="1" ht="15" customHeight="1">
      <c r="A2" s="90"/>
      <c r="B2" s="91" t="s">
        <v>183</v>
      </c>
      <c r="C2" s="92"/>
      <c r="D2" s="84" t="s">
        <v>463</v>
      </c>
      <c r="E2" s="67"/>
      <c r="F2" s="67"/>
      <c r="G2" s="65" t="s">
        <v>464</v>
      </c>
      <c r="H2" s="67"/>
      <c r="I2" s="67"/>
      <c r="J2" s="65" t="s">
        <v>465</v>
      </c>
      <c r="K2" s="67"/>
      <c r="L2" s="67"/>
      <c r="M2" s="65" t="s">
        <v>466</v>
      </c>
      <c r="N2" s="67"/>
      <c r="O2" s="85"/>
      <c r="P2" s="4"/>
      <c r="Q2" s="4"/>
      <c r="R2" s="4"/>
    </row>
    <row r="3" spans="1:18" ht="33.75">
      <c r="A3" s="80"/>
      <c r="B3" s="706" t="s">
        <v>173</v>
      </c>
      <c r="C3" s="707"/>
      <c r="D3" s="32" t="s">
        <v>18</v>
      </c>
      <c r="E3" s="33" t="s">
        <v>68</v>
      </c>
      <c r="F3" s="33" t="s">
        <v>69</v>
      </c>
      <c r="G3" s="32" t="s">
        <v>18</v>
      </c>
      <c r="H3" s="33" t="s">
        <v>68</v>
      </c>
      <c r="I3" s="33" t="s">
        <v>69</v>
      </c>
      <c r="J3" s="32" t="s">
        <v>18</v>
      </c>
      <c r="K3" s="33" t="s">
        <v>68</v>
      </c>
      <c r="L3" s="33" t="s">
        <v>69</v>
      </c>
      <c r="M3" s="32" t="s">
        <v>18</v>
      </c>
      <c r="N3" s="33" t="s">
        <v>68</v>
      </c>
      <c r="O3" s="86" t="s">
        <v>69</v>
      </c>
      <c r="R3" s="9"/>
    </row>
    <row r="4" spans="1:18" ht="13.35" customHeight="1">
      <c r="A4" s="114"/>
      <c r="B4" s="16" t="s">
        <v>104</v>
      </c>
      <c r="C4" s="16"/>
      <c r="D4" s="19">
        <v>19002</v>
      </c>
      <c r="E4" s="15">
        <v>1238.1256679999999</v>
      </c>
      <c r="F4" s="15">
        <v>197.19449399999999</v>
      </c>
      <c r="G4" s="19">
        <v>19232</v>
      </c>
      <c r="H4" s="15">
        <v>1315.703947</v>
      </c>
      <c r="I4" s="15">
        <v>199.29291499999999</v>
      </c>
      <c r="J4" s="19">
        <v>18945</v>
      </c>
      <c r="K4" s="15">
        <v>1348.7051610000001</v>
      </c>
      <c r="L4" s="15">
        <v>192.22447700000001</v>
      </c>
      <c r="M4" s="19">
        <v>17544</v>
      </c>
      <c r="N4" s="15">
        <v>1390.80584</v>
      </c>
      <c r="O4" s="24">
        <v>204.62673799999999</v>
      </c>
      <c r="R4" s="11"/>
    </row>
    <row r="5" spans="1:18" ht="13.35" customHeight="1">
      <c r="A5" s="114"/>
      <c r="B5" s="16" t="s">
        <v>105</v>
      </c>
      <c r="C5" s="16"/>
      <c r="D5" s="19">
        <v>139307</v>
      </c>
      <c r="E5" s="15">
        <v>10647.524444999999</v>
      </c>
      <c r="F5" s="15">
        <v>1261.3045139999999</v>
      </c>
      <c r="G5" s="19">
        <v>151249</v>
      </c>
      <c r="H5" s="15">
        <v>12762.026913</v>
      </c>
      <c r="I5" s="15">
        <v>1493.3176960000001</v>
      </c>
      <c r="J5" s="19">
        <v>152689</v>
      </c>
      <c r="K5" s="15">
        <v>13110.647806000001</v>
      </c>
      <c r="L5" s="15">
        <v>1370.257435</v>
      </c>
      <c r="M5" s="19">
        <v>160092</v>
      </c>
      <c r="N5" s="15">
        <v>13976.289548000001</v>
      </c>
      <c r="O5" s="24">
        <v>1407.037896</v>
      </c>
      <c r="R5" s="12"/>
    </row>
    <row r="6" spans="1:18" ht="13.35" customHeight="1">
      <c r="A6" s="114"/>
      <c r="B6" s="16" t="s">
        <v>106</v>
      </c>
      <c r="C6" s="16"/>
      <c r="D6" s="19">
        <v>935766</v>
      </c>
      <c r="E6" s="15">
        <v>136874.44592</v>
      </c>
      <c r="F6" s="15">
        <v>25001.068932999999</v>
      </c>
      <c r="G6" s="19">
        <v>1028022</v>
      </c>
      <c r="H6" s="15">
        <v>160319.75219299999</v>
      </c>
      <c r="I6" s="15">
        <v>29070.216477000002</v>
      </c>
      <c r="J6" s="19">
        <v>1090340</v>
      </c>
      <c r="K6" s="15">
        <v>170355.29962400001</v>
      </c>
      <c r="L6" s="15">
        <v>29033.915056000002</v>
      </c>
      <c r="M6" s="19">
        <v>1119754</v>
      </c>
      <c r="N6" s="15">
        <v>184222.17400699999</v>
      </c>
      <c r="O6" s="24">
        <v>31057.373446000001</v>
      </c>
      <c r="R6" s="12"/>
    </row>
    <row r="7" spans="1:18" ht="13.35" customHeight="1">
      <c r="A7" s="114"/>
      <c r="B7" s="16" t="s">
        <v>107</v>
      </c>
      <c r="C7" s="16"/>
      <c r="D7" s="19">
        <v>1181803</v>
      </c>
      <c r="E7" s="15">
        <v>220180.23820299999</v>
      </c>
      <c r="F7" s="15">
        <v>48431.109068999998</v>
      </c>
      <c r="G7" s="19">
        <v>1252980</v>
      </c>
      <c r="H7" s="15">
        <v>251579.21607200001</v>
      </c>
      <c r="I7" s="15">
        <v>55177.480614</v>
      </c>
      <c r="J7" s="19">
        <v>1280571</v>
      </c>
      <c r="K7" s="15">
        <v>260262.370578</v>
      </c>
      <c r="L7" s="15">
        <v>54817.171984000001</v>
      </c>
      <c r="M7" s="19">
        <v>1245472</v>
      </c>
      <c r="N7" s="15">
        <v>275772.28647599998</v>
      </c>
      <c r="O7" s="24">
        <v>58462.341891999997</v>
      </c>
      <c r="R7" s="12"/>
    </row>
    <row r="8" spans="1:18" ht="13.35" customHeight="1">
      <c r="A8" s="114"/>
      <c r="B8" s="16" t="s">
        <v>108</v>
      </c>
      <c r="C8" s="16"/>
      <c r="D8" s="19">
        <v>960006</v>
      </c>
      <c r="E8" s="15">
        <v>187455.054229</v>
      </c>
      <c r="F8" s="15">
        <v>43555.376263999999</v>
      </c>
      <c r="G8" s="19">
        <v>1021714</v>
      </c>
      <c r="H8" s="15">
        <v>214971.484861</v>
      </c>
      <c r="I8" s="15">
        <v>49480.979352000002</v>
      </c>
      <c r="J8" s="19">
        <v>1048174</v>
      </c>
      <c r="K8" s="15">
        <v>223427.596441</v>
      </c>
      <c r="L8" s="15">
        <v>49588.909031000003</v>
      </c>
      <c r="M8" s="19">
        <v>1007806</v>
      </c>
      <c r="N8" s="15">
        <v>237080.702946</v>
      </c>
      <c r="O8" s="24">
        <v>52954.553486999997</v>
      </c>
    </row>
    <row r="9" spans="1:18" ht="13.35" customHeight="1">
      <c r="A9" s="114"/>
      <c r="B9" s="16" t="s">
        <v>109</v>
      </c>
      <c r="C9" s="16"/>
      <c r="D9" s="19">
        <v>555692</v>
      </c>
      <c r="E9" s="15">
        <v>99692.210292000003</v>
      </c>
      <c r="F9" s="15">
        <v>24147.162232999999</v>
      </c>
      <c r="G9" s="19">
        <v>596311</v>
      </c>
      <c r="H9" s="15">
        <v>113668.952409</v>
      </c>
      <c r="I9" s="15">
        <v>27221.762996000001</v>
      </c>
      <c r="J9" s="19">
        <v>625480</v>
      </c>
      <c r="K9" s="15">
        <v>120953.43904100001</v>
      </c>
      <c r="L9" s="15">
        <v>27989.926448999999</v>
      </c>
      <c r="M9" s="19">
        <v>605850</v>
      </c>
      <c r="N9" s="15">
        <v>130494.653502</v>
      </c>
      <c r="O9" s="24">
        <v>30203.212405999999</v>
      </c>
    </row>
    <row r="10" spans="1:18" ht="13.35" customHeight="1">
      <c r="A10" s="114"/>
      <c r="B10" s="16" t="s">
        <v>272</v>
      </c>
      <c r="C10" s="16"/>
      <c r="D10" s="19">
        <v>224708</v>
      </c>
      <c r="E10" s="15">
        <v>26116.042397000001</v>
      </c>
      <c r="F10" s="15">
        <v>5217.7258030000003</v>
      </c>
      <c r="G10" s="19">
        <v>238228</v>
      </c>
      <c r="H10" s="15">
        <v>29907.735784</v>
      </c>
      <c r="I10" s="15">
        <v>5892.7653479999999</v>
      </c>
      <c r="J10" s="19">
        <v>250049</v>
      </c>
      <c r="K10" s="15">
        <v>28070.927065</v>
      </c>
      <c r="L10" s="15">
        <v>5735.5610800000004</v>
      </c>
      <c r="M10" s="19">
        <v>246463</v>
      </c>
      <c r="N10" s="15">
        <v>29694.067512000001</v>
      </c>
      <c r="O10" s="24">
        <v>6083.1790019999999</v>
      </c>
    </row>
    <row r="11" spans="1:18" s="1" customFormat="1" ht="13.35" customHeight="1">
      <c r="A11" s="115"/>
      <c r="B11" s="16" t="s">
        <v>271</v>
      </c>
      <c r="C11" s="16"/>
      <c r="D11" s="19">
        <v>106947</v>
      </c>
      <c r="E11" s="15">
        <v>10366.849722000001</v>
      </c>
      <c r="F11" s="15">
        <v>1713.01974</v>
      </c>
      <c r="G11" s="19">
        <v>112671</v>
      </c>
      <c r="H11" s="15">
        <v>12294.423073</v>
      </c>
      <c r="I11" s="15">
        <v>1996.3678990000001</v>
      </c>
      <c r="J11" s="19">
        <v>118271</v>
      </c>
      <c r="K11" s="15">
        <v>12627.555321</v>
      </c>
      <c r="L11" s="15">
        <v>1823.4535860000001</v>
      </c>
      <c r="M11" s="19">
        <v>119711</v>
      </c>
      <c r="N11" s="15">
        <v>12610.063885</v>
      </c>
      <c r="O11" s="24">
        <v>1790.6356040000001</v>
      </c>
    </row>
    <row r="12" spans="1:18" s="1" customFormat="1" ht="13.35" customHeight="1">
      <c r="A12" s="103"/>
      <c r="B12" s="104" t="s">
        <v>9</v>
      </c>
      <c r="C12" s="105"/>
      <c r="D12" s="111">
        <f t="shared" ref="D12:O12" si="0">SUM(D4:D11)</f>
        <v>4123231</v>
      </c>
      <c r="E12" s="112">
        <f t="shared" si="0"/>
        <v>692570.49087599991</v>
      </c>
      <c r="F12" s="112">
        <f t="shared" si="0"/>
        <v>149523.96105000001</v>
      </c>
      <c r="G12" s="111">
        <f t="shared" si="0"/>
        <v>4420407</v>
      </c>
      <c r="H12" s="112">
        <f t="shared" si="0"/>
        <v>796819.2952520001</v>
      </c>
      <c r="I12" s="112">
        <f t="shared" si="0"/>
        <v>170532.18329700001</v>
      </c>
      <c r="J12" s="111">
        <f t="shared" si="0"/>
        <v>4584519</v>
      </c>
      <c r="K12" s="112">
        <f t="shared" si="0"/>
        <v>830156.54103700013</v>
      </c>
      <c r="L12" s="112">
        <f t="shared" si="0"/>
        <v>170551.41909799998</v>
      </c>
      <c r="M12" s="111">
        <f t="shared" si="0"/>
        <v>4522692</v>
      </c>
      <c r="N12" s="112">
        <f t="shared" si="0"/>
        <v>885241.04371599993</v>
      </c>
      <c r="O12" s="113">
        <f t="shared" si="0"/>
        <v>182162.960471</v>
      </c>
    </row>
    <row r="13" spans="1:18" s="1" customFormat="1" ht="13.35" customHeight="1">
      <c r="A13" s="100"/>
      <c r="B13" s="101" t="s">
        <v>92</v>
      </c>
      <c r="C13" s="102"/>
      <c r="D13" s="108"/>
      <c r="E13" s="109"/>
      <c r="F13" s="109"/>
      <c r="G13" s="108"/>
      <c r="H13" s="109"/>
      <c r="I13" s="109"/>
      <c r="J13" s="108"/>
      <c r="K13" s="109"/>
      <c r="L13" s="109"/>
      <c r="M13" s="108"/>
      <c r="N13" s="109"/>
      <c r="O13" s="110"/>
    </row>
    <row r="14" spans="1:18" s="1" customFormat="1" ht="13.35" customHeight="1">
      <c r="A14" s="114"/>
      <c r="B14" s="16" t="s">
        <v>104</v>
      </c>
      <c r="C14" s="16"/>
      <c r="D14" s="62">
        <f>A2.1.4!D4/A2.1.4!D$12</f>
        <v>4.608521812141983E-3</v>
      </c>
      <c r="E14" s="58">
        <f>A2.1.4!E4/A2.1.4!E$12</f>
        <v>1.7877251259058884E-3</v>
      </c>
      <c r="F14" s="58">
        <f>A2.1.4!F4/A2.1.4!F$12</f>
        <v>1.3188153431412857E-3</v>
      </c>
      <c r="G14" s="62">
        <f>A2.1.4!G4/A2.1.4!G$12</f>
        <v>4.3507306001460948E-3</v>
      </c>
      <c r="H14" s="58">
        <f>A2.1.4!H4/A2.1.4!H$12</f>
        <v>1.6511948880252689E-3</v>
      </c>
      <c r="I14" s="58">
        <f>A2.1.4!I4/A2.1.4!I$12</f>
        <v>1.1686528087951006E-3</v>
      </c>
      <c r="J14" s="62">
        <f>A2.1.4!J4/A2.1.4!J$12</f>
        <v>4.1323855348838123E-3</v>
      </c>
      <c r="K14" s="58">
        <f>A2.1.4!K4/A2.1.4!K$12</f>
        <v>1.6246395641420215E-3</v>
      </c>
      <c r="L14" s="58">
        <f>A2.1.4!L4/A2.1.4!L$12</f>
        <v>1.1270763856238953E-3</v>
      </c>
      <c r="M14" s="62">
        <f>A2.1.4!M4/A2.1.4!M$12</f>
        <v>3.8791056300097374E-3</v>
      </c>
      <c r="N14" s="58">
        <f>A2.1.4!N4/A2.1.4!N$12</f>
        <v>1.5711041076018992E-3</v>
      </c>
      <c r="O14" s="59">
        <f>A2.1.4!O4/A2.1.4!O$12</f>
        <v>1.1233169326569886E-3</v>
      </c>
    </row>
    <row r="15" spans="1:18" s="1" customFormat="1" ht="13.35" customHeight="1">
      <c r="A15" s="114"/>
      <c r="B15" s="16" t="s">
        <v>105</v>
      </c>
      <c r="C15" s="16"/>
      <c r="D15" s="62">
        <f>A2.1.4!D5/A2.1.4!D$12</f>
        <v>3.378588296411237E-2</v>
      </c>
      <c r="E15" s="58">
        <f>A2.1.4!E5/A2.1.4!E$12</f>
        <v>1.5373921622811917E-2</v>
      </c>
      <c r="F15" s="58">
        <f>A2.1.4!F5/A2.1.4!F$12</f>
        <v>8.435467500611667E-3</v>
      </c>
      <c r="G15" s="62">
        <f>A2.1.4!G5/A2.1.4!G$12</f>
        <v>3.4216080103031239E-2</v>
      </c>
      <c r="H15" s="58">
        <f>A2.1.4!H5/A2.1.4!H$12</f>
        <v>1.6016212193962889E-2</v>
      </c>
      <c r="I15" s="58">
        <f>A2.1.4!I5/A2.1.4!I$12</f>
        <v>8.7568086394532799E-3</v>
      </c>
      <c r="J15" s="62">
        <f>A2.1.4!J5/A2.1.4!J$12</f>
        <v>3.3305347845651853E-2</v>
      </c>
      <c r="K15" s="58">
        <f>A2.1.4!K5/A2.1.4!K$12</f>
        <v>1.5792982597743161E-2</v>
      </c>
      <c r="L15" s="58">
        <f>A2.1.4!L5/A2.1.4!L$12</f>
        <v>8.0342775348743421E-3</v>
      </c>
      <c r="M15" s="62">
        <f>A2.1.4!M5/A2.1.4!M$12</f>
        <v>3.539750219559501E-2</v>
      </c>
      <c r="N15" s="58">
        <f>A2.1.4!N5/A2.1.4!N$12</f>
        <v>1.5788117425431788E-2</v>
      </c>
      <c r="O15" s="59">
        <f>A2.1.4!O5/A2.1.4!O$12</f>
        <v>7.7240614247922144E-3</v>
      </c>
    </row>
    <row r="16" spans="1:18" customFormat="1" ht="13.35" customHeight="1">
      <c r="A16" s="114"/>
      <c r="B16" s="16" t="s">
        <v>106</v>
      </c>
      <c r="C16" s="16"/>
      <c r="D16" s="62">
        <f>A2.1.4!D6/A2.1.4!D$12</f>
        <v>0.22694969066734316</v>
      </c>
      <c r="E16" s="58">
        <f>A2.1.4!E6/A2.1.4!E$12</f>
        <v>0.19763251210266544</v>
      </c>
      <c r="F16" s="58">
        <f>A2.1.4!F6/A2.1.4!F$12</f>
        <v>0.16720443170068089</v>
      </c>
      <c r="G16" s="62">
        <f>A2.1.4!G6/A2.1.4!G$12</f>
        <v>0.23256274818133263</v>
      </c>
      <c r="H16" s="58">
        <f>A2.1.4!H6/A2.1.4!H$12</f>
        <v>0.2011996360383036</v>
      </c>
      <c r="I16" s="58">
        <f>A2.1.4!I6/A2.1.4!I$12</f>
        <v>0.17046762619798936</v>
      </c>
      <c r="J16" s="62">
        <f>A2.1.4!J6/A2.1.4!J$12</f>
        <v>0.23783083896042312</v>
      </c>
      <c r="K16" s="58">
        <f>A2.1.4!K6/A2.1.4!K$12</f>
        <v>0.20520864584310641</v>
      </c>
      <c r="L16" s="58">
        <f>A2.1.4!L6/A2.1.4!L$12</f>
        <v>0.17023555247767783</v>
      </c>
      <c r="M16" s="62">
        <f>A2.1.4!M6/A2.1.4!M$12</f>
        <v>0.24758572991483832</v>
      </c>
      <c r="N16" s="58">
        <f>A2.1.4!N6/A2.1.4!N$12</f>
        <v>0.20810396819569693</v>
      </c>
      <c r="O16" s="59">
        <f>A2.1.4!O6/A2.1.4!O$12</f>
        <v>0.17049225246283958</v>
      </c>
    </row>
    <row r="17" spans="1:18" customFormat="1" ht="13.35" customHeight="1">
      <c r="A17" s="114"/>
      <c r="B17" s="16" t="s">
        <v>107</v>
      </c>
      <c r="C17" s="16"/>
      <c r="D17" s="62">
        <f>A2.1.4!D7/A2.1.4!D$12</f>
        <v>0.2866206137856453</v>
      </c>
      <c r="E17" s="58">
        <f>A2.1.4!E7/A2.1.4!E$12</f>
        <v>0.31791744104561015</v>
      </c>
      <c r="F17" s="58">
        <f>A2.1.4!F7/A2.1.4!F$12</f>
        <v>0.32390199355944627</v>
      </c>
      <c r="G17" s="62">
        <f>A2.1.4!G7/A2.1.4!G$12</f>
        <v>0.28345353719691424</v>
      </c>
      <c r="H17" s="58">
        <f>A2.1.4!H7/A2.1.4!H$12</f>
        <v>0.31572932228308576</v>
      </c>
      <c r="I17" s="58">
        <f>A2.1.4!I7/A2.1.4!I$12</f>
        <v>0.32356051243361217</v>
      </c>
      <c r="J17" s="62">
        <f>A2.1.4!J7/A2.1.4!J$12</f>
        <v>0.2793250502397307</v>
      </c>
      <c r="K17" s="58">
        <f>A2.1.4!K7/A2.1.4!K$12</f>
        <v>0.3135099920466688</v>
      </c>
      <c r="L17" s="58">
        <f>A2.1.4!L7/A2.1.4!L$12</f>
        <v>0.32141140937972312</v>
      </c>
      <c r="M17" s="62">
        <f>A2.1.4!M7/A2.1.4!M$12</f>
        <v>0.27538289142837941</v>
      </c>
      <c r="N17" s="58">
        <f>A2.1.4!N7/A2.1.4!N$12</f>
        <v>0.31152225536039685</v>
      </c>
      <c r="O17" s="59">
        <f>A2.1.4!O7/A2.1.4!O$12</f>
        <v>0.3209342982834707</v>
      </c>
      <c r="Q17" s="98">
        <f>AVERAGE(D17,G17,J17,M17)</f>
        <v>0.28119552316266738</v>
      </c>
      <c r="R17" s="98">
        <f>AVERAGE(F17,I17,L17,O17)</f>
        <v>0.32245205341406308</v>
      </c>
    </row>
    <row r="18" spans="1:18" customFormat="1" ht="13.35" customHeight="1">
      <c r="A18" s="114"/>
      <c r="B18" s="16" t="s">
        <v>108</v>
      </c>
      <c r="C18" s="16"/>
      <c r="D18" s="62">
        <f>A2.1.4!D8/A2.1.4!D$12</f>
        <v>0.23282857545454039</v>
      </c>
      <c r="E18" s="58">
        <f>A2.1.4!E8/A2.1.4!E$12</f>
        <v>0.27066566753645094</v>
      </c>
      <c r="F18" s="58">
        <f>A2.1.4!F8/A2.1.4!F$12</f>
        <v>0.29129362249462687</v>
      </c>
      <c r="G18" s="62">
        <f>A2.1.4!G8/A2.1.4!G$12</f>
        <v>0.23113573026194195</v>
      </c>
      <c r="H18" s="58">
        <f>A2.1.4!H8/A2.1.4!H$12</f>
        <v>0.26978699705434928</v>
      </c>
      <c r="I18" s="58">
        <f>A2.1.4!I8/A2.1.4!I$12</f>
        <v>0.29015625317963351</v>
      </c>
      <c r="J18" s="62">
        <f>A2.1.4!J8/A2.1.4!J$12</f>
        <v>0.22863336371820031</v>
      </c>
      <c r="K18" s="58">
        <f>A2.1.4!K8/A2.1.4!K$12</f>
        <v>0.26913911460831558</v>
      </c>
      <c r="L18" s="58">
        <f>A2.1.4!L8/A2.1.4!L$12</f>
        <v>0.29075635543381723</v>
      </c>
      <c r="M18" s="62">
        <f>A2.1.4!M8/A2.1.4!M$12</f>
        <v>0.22283321526206074</v>
      </c>
      <c r="N18" s="58">
        <f>A2.1.4!N8/A2.1.4!N$12</f>
        <v>0.26781485633652957</v>
      </c>
      <c r="O18" s="59">
        <f>A2.1.4!O8/A2.1.4!O$12</f>
        <v>0.29069879711046015</v>
      </c>
    </row>
    <row r="19" spans="1:18" customFormat="1" ht="13.35" customHeight="1">
      <c r="A19" s="114"/>
      <c r="B19" s="16" t="s">
        <v>109</v>
      </c>
      <c r="C19" s="16"/>
      <c r="D19" s="62">
        <f>A2.1.4!D9/A2.1.4!D$12</f>
        <v>0.1347710084639934</v>
      </c>
      <c r="E19" s="58">
        <f>A2.1.4!E9/A2.1.4!E$12</f>
        <v>0.14394521800359122</v>
      </c>
      <c r="F19" s="58">
        <f>A2.1.4!F9/A2.1.4!F$12</f>
        <v>0.16149359650073286</v>
      </c>
      <c r="G19" s="62">
        <f>A2.1.4!G9/A2.1.4!G$12</f>
        <v>0.13489956920256438</v>
      </c>
      <c r="H19" s="58">
        <f>A2.1.4!H9/A2.1.4!H$12</f>
        <v>0.14265336329870293</v>
      </c>
      <c r="I19" s="58">
        <f>A2.1.4!I9/A2.1.4!I$12</f>
        <v>0.15962830282064935</v>
      </c>
      <c r="J19" s="62">
        <f>A2.1.4!J9/A2.1.4!J$12</f>
        <v>0.136433069641548</v>
      </c>
      <c r="K19" s="58">
        <f>A2.1.4!K9/A2.1.4!K$12</f>
        <v>0.14569955551986563</v>
      </c>
      <c r="L19" s="58">
        <f>A2.1.4!L9/A2.1.4!L$12</f>
        <v>0.16411429818075451</v>
      </c>
      <c r="M19" s="62">
        <f>A2.1.4!M9/A2.1.4!M$12</f>
        <v>0.13395782865603054</v>
      </c>
      <c r="N19" s="58">
        <f>A2.1.4!N9/A2.1.4!N$12</f>
        <v>0.14741143604708964</v>
      </c>
      <c r="O19" s="59">
        <f>A2.1.4!O9/A2.1.4!O$12</f>
        <v>0.16580325840064666</v>
      </c>
    </row>
    <row r="20" spans="1:18" customFormat="1" ht="13.35" customHeight="1">
      <c r="A20" s="114"/>
      <c r="B20" s="16" t="s">
        <v>272</v>
      </c>
      <c r="C20" s="16"/>
      <c r="D20" s="62">
        <f>A2.1.4!D10/A2.1.4!D$12</f>
        <v>5.4498038067719225E-2</v>
      </c>
      <c r="E20" s="58">
        <f>A2.1.4!E10/A2.1.4!E$12</f>
        <v>3.7708858146651682E-2</v>
      </c>
      <c r="F20" s="58">
        <f>A2.1.4!F10/A2.1.4!F$12</f>
        <v>3.4895583064812073E-2</v>
      </c>
      <c r="G20" s="62">
        <f>A2.1.4!G10/A2.1.4!G$12</f>
        <v>5.3892775031801371E-2</v>
      </c>
      <c r="H20" s="58">
        <f>A2.1.4!H10/A2.1.4!H$12</f>
        <v>3.7533900047615504E-2</v>
      </c>
      <c r="I20" s="58">
        <f>A2.1.4!I10/A2.1.4!I$12</f>
        <v>3.4555151022356408E-2</v>
      </c>
      <c r="J20" s="62">
        <f>A2.1.4!J10/A2.1.4!J$12</f>
        <v>5.4542035925688168E-2</v>
      </c>
      <c r="K20" s="58">
        <f>A2.1.4!K10/A2.1.4!K$12</f>
        <v>3.3814016606958083E-2</v>
      </c>
      <c r="L20" s="58">
        <f>A2.1.4!L10/A2.1.4!L$12</f>
        <v>3.3629512497367779E-2</v>
      </c>
      <c r="M20" s="62">
        <f>A2.1.4!M10/A2.1.4!M$12</f>
        <v>5.4494756662624828E-2</v>
      </c>
      <c r="N20" s="58">
        <f>A2.1.4!N10/A2.1.4!N$12</f>
        <v>3.3543482560809003E-2</v>
      </c>
      <c r="O20" s="59">
        <f>A2.1.4!O10/A2.1.4!O$12</f>
        <v>3.3394159747246917E-2</v>
      </c>
    </row>
    <row r="21" spans="1:18" customFormat="1" ht="13.35" customHeight="1">
      <c r="A21" s="115"/>
      <c r="B21" s="16" t="s">
        <v>271</v>
      </c>
      <c r="C21" s="16"/>
      <c r="D21" s="62">
        <f>A2.1.4!D11/A2.1.4!D$12</f>
        <v>2.5937668784504191E-2</v>
      </c>
      <c r="E21" s="58">
        <f>A2.1.4!E11/A2.1.4!E$12</f>
        <v>1.4968656416312886E-2</v>
      </c>
      <c r="F21" s="58">
        <f>A2.1.4!F11/A2.1.4!F$12</f>
        <v>1.1456489835947934E-2</v>
      </c>
      <c r="G21" s="62">
        <f>A2.1.4!G11/A2.1.4!G$12</f>
        <v>2.5488829422268131E-2</v>
      </c>
      <c r="H21" s="58">
        <f>A2.1.4!H11/A2.1.4!H$12</f>
        <v>1.5429374195954675E-2</v>
      </c>
      <c r="I21" s="58">
        <f>A2.1.4!I11/A2.1.4!I$12</f>
        <v>1.1706692897510801E-2</v>
      </c>
      <c r="J21" s="62">
        <f>A2.1.4!J11/A2.1.4!J$12</f>
        <v>2.5797908133874021E-2</v>
      </c>
      <c r="K21" s="58">
        <f>A2.1.4!K11/A2.1.4!K$12</f>
        <v>1.521105321320017E-2</v>
      </c>
      <c r="L21" s="58">
        <f>A2.1.4!L11/A2.1.4!L$12</f>
        <v>1.0691518110161438E-2</v>
      </c>
      <c r="M21" s="62">
        <f>A2.1.4!M11/A2.1.4!M$12</f>
        <v>2.6468970250461452E-2</v>
      </c>
      <c r="N21" s="58">
        <f>A2.1.4!N11/A2.1.4!N$12</f>
        <v>1.4244779966444392E-2</v>
      </c>
      <c r="O21" s="59">
        <f>A2.1.4!O11/A2.1.4!O$12</f>
        <v>9.8298556378867471E-3</v>
      </c>
    </row>
    <row r="22" spans="1:18" customFormat="1" ht="13.35" customHeight="1">
      <c r="A22" s="88"/>
      <c r="B22" s="75" t="s">
        <v>9</v>
      </c>
      <c r="C22" s="89"/>
      <c r="D22" s="63">
        <f t="shared" ref="D22:O22" si="1">SUM(D14:D21)</f>
        <v>1</v>
      </c>
      <c r="E22" s="60">
        <f t="shared" si="1"/>
        <v>1</v>
      </c>
      <c r="F22" s="60">
        <f t="shared" si="1"/>
        <v>0.99999999999999978</v>
      </c>
      <c r="G22" s="63">
        <f t="shared" si="1"/>
        <v>1</v>
      </c>
      <c r="H22" s="60">
        <f t="shared" si="1"/>
        <v>0.99999999999999989</v>
      </c>
      <c r="I22" s="60">
        <f t="shared" si="1"/>
        <v>1</v>
      </c>
      <c r="J22" s="63">
        <f t="shared" si="1"/>
        <v>1</v>
      </c>
      <c r="K22" s="60">
        <f t="shared" si="1"/>
        <v>0.99999999999999978</v>
      </c>
      <c r="L22" s="60">
        <f t="shared" si="1"/>
        <v>1</v>
      </c>
      <c r="M22" s="63">
        <f t="shared" si="1"/>
        <v>1</v>
      </c>
      <c r="N22" s="60">
        <f t="shared" si="1"/>
        <v>1</v>
      </c>
      <c r="O22" s="61">
        <f t="shared" si="1"/>
        <v>1</v>
      </c>
    </row>
    <row r="23" spans="1:18" customFormat="1" ht="13.35" customHeight="1">
      <c r="A23" s="1"/>
      <c r="B23" s="1"/>
      <c r="C23" s="1"/>
      <c r="D23" s="1"/>
      <c r="E23" s="1"/>
      <c r="F23" s="1"/>
      <c r="G23" s="1"/>
      <c r="H23" s="1"/>
      <c r="I23" s="1"/>
      <c r="J23" s="1"/>
      <c r="K23" s="1"/>
      <c r="L23" s="1"/>
      <c r="M23" s="1"/>
      <c r="N23" s="1"/>
      <c r="O23" s="1"/>
    </row>
    <row r="24" spans="1:18" customFormat="1" ht="13.35" customHeight="1">
      <c r="H24" s="560" t="s">
        <v>506</v>
      </c>
    </row>
    <row r="25" spans="1:18" customFormat="1" ht="13.35" customHeight="1">
      <c r="H25" s="1"/>
    </row>
    <row r="26" spans="1:18" customFormat="1" ht="13.35" customHeight="1">
      <c r="F26" s="262"/>
      <c r="H26" s="1"/>
      <c r="I26" s="262"/>
      <c r="L26" s="262"/>
      <c r="O26" s="262"/>
    </row>
    <row r="27" spans="1:18" s="21" customFormat="1" ht="13.35" customHeight="1">
      <c r="A27" s="3"/>
      <c r="B27" s="17"/>
      <c r="C27" s="123" t="s">
        <v>263</v>
      </c>
      <c r="D27" s="124">
        <f>D12-A2.1.1!D29</f>
        <v>0</v>
      </c>
      <c r="E27" s="124">
        <f>E12-A2.1.1!E29</f>
        <v>0</v>
      </c>
      <c r="F27" s="124">
        <f>F12-A2.1.1!F29</f>
        <v>-1.6999983927235007E-5</v>
      </c>
      <c r="G27" s="124">
        <f>G12-A2.1.1!G29</f>
        <v>0</v>
      </c>
      <c r="H27" s="124">
        <f>H12-A2.1.1!H29</f>
        <v>0</v>
      </c>
      <c r="I27" s="124">
        <f>I12-A2.1.1!I29</f>
        <v>-6.0000165831297636E-6</v>
      </c>
      <c r="J27" s="124">
        <f>J12-A2.1.1!J29</f>
        <v>0</v>
      </c>
      <c r="K27" s="124">
        <f>K12-A2.1.1!K29</f>
        <v>0</v>
      </c>
      <c r="L27" s="124">
        <f>L12-A2.1.1!L29</f>
        <v>-5.5000069551169872E-5</v>
      </c>
      <c r="M27" s="124">
        <f>M12-A2.1.1!M29</f>
        <v>0</v>
      </c>
      <c r="N27" s="124">
        <f>N12-A2.1.1!N29</f>
        <v>0</v>
      </c>
      <c r="O27" s="125">
        <f>O12-A2.1.1!O29</f>
        <v>2.3999979021027684E-5</v>
      </c>
      <c r="P27" s="6"/>
      <c r="Q27" s="6"/>
      <c r="R27" s="12"/>
    </row>
    <row r="28" spans="1:18" customFormat="1" ht="13.35" customHeight="1">
      <c r="F28" s="262"/>
      <c r="H28" s="1"/>
      <c r="I28" s="262"/>
      <c r="L28" s="262"/>
      <c r="O28" s="262"/>
    </row>
    <row r="29" spans="1:18" customFormat="1" ht="13.35" customHeight="1">
      <c r="H29" s="1"/>
    </row>
  </sheetData>
  <mergeCells count="1">
    <mergeCell ref="B3:C3"/>
  </mergeCells>
  <hyperlinks>
    <hyperlink ref="H24" location="CONTENTS!A1" display="BACK TO CONTENTS"/>
  </hyperlinks>
  <pageMargins left="0.98425196850393704" right="0.98425196850393704" top="0.98425196850393704" bottom="0.98425196850393704" header="0.51181102362204722" footer="0.51181102362204722"/>
  <pageSetup paperSize="9" scale="91" orientation="landscape" r:id="rId1"/>
  <headerFooter alignWithMargins="0"/>
</worksheet>
</file>

<file path=xl/worksheets/sheet24.xml><?xml version="1.0" encoding="utf-8"?>
<worksheet xmlns="http://schemas.openxmlformats.org/spreadsheetml/2006/main" xmlns:r="http://schemas.openxmlformats.org/officeDocument/2006/relationships">
  <sheetPr codeName="Sheet23" enableFormatConditionsCalculation="0">
    <pageSetUpPr fitToPage="1"/>
  </sheetPr>
  <dimension ref="A1:S25"/>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5.7109375" style="2" customWidth="1"/>
    <col min="4" max="6" width="9.7109375" style="2" customWidth="1"/>
    <col min="7" max="7" width="9.7109375" style="14" customWidth="1"/>
    <col min="8" max="15" width="9.7109375" style="6" customWidth="1"/>
    <col min="16" max="16" width="9.140625" style="6"/>
    <col min="17" max="19" width="8.7109375" style="6" customWidth="1"/>
    <col min="20" max="16384" width="9.140625" style="10"/>
  </cols>
  <sheetData>
    <row r="1" spans="1:19" s="1" customFormat="1" ht="15" customHeight="1">
      <c r="A1" s="455" t="s">
        <v>487</v>
      </c>
      <c r="B1" s="53"/>
      <c r="C1" s="53"/>
      <c r="D1" s="78"/>
      <c r="E1" s="78"/>
      <c r="F1" s="78"/>
      <c r="G1" s="66"/>
      <c r="H1" s="4"/>
      <c r="I1" s="5"/>
      <c r="J1" s="4"/>
      <c r="K1" s="4"/>
      <c r="L1" s="4"/>
      <c r="M1" s="4"/>
      <c r="N1" s="4"/>
      <c r="O1" s="4"/>
    </row>
    <row r="2" spans="1:19" customFormat="1" ht="13.35" customHeight="1">
      <c r="A2" s="90"/>
      <c r="B2" s="91" t="s">
        <v>183</v>
      </c>
      <c r="C2" s="92"/>
      <c r="D2" s="84" t="s">
        <v>463</v>
      </c>
      <c r="E2" s="67"/>
      <c r="F2" s="67"/>
      <c r="G2" s="65" t="s">
        <v>464</v>
      </c>
      <c r="H2" s="67"/>
      <c r="I2" s="67"/>
      <c r="J2" s="65" t="s">
        <v>465</v>
      </c>
      <c r="K2" s="67"/>
      <c r="L2" s="67"/>
      <c r="M2" s="65" t="s">
        <v>466</v>
      </c>
      <c r="N2" s="67"/>
      <c r="O2" s="85"/>
    </row>
    <row r="3" spans="1:19" customFormat="1" ht="33.75">
      <c r="A3" s="80"/>
      <c r="B3" s="706" t="s">
        <v>93</v>
      </c>
      <c r="C3" s="707"/>
      <c r="D3" s="32" t="s">
        <v>18</v>
      </c>
      <c r="E3" s="33" t="s">
        <v>68</v>
      </c>
      <c r="F3" s="33" t="s">
        <v>69</v>
      </c>
      <c r="G3" s="32" t="s">
        <v>18</v>
      </c>
      <c r="H3" s="33" t="s">
        <v>68</v>
      </c>
      <c r="I3" s="33" t="s">
        <v>69</v>
      </c>
      <c r="J3" s="32" t="s">
        <v>18</v>
      </c>
      <c r="K3" s="33" t="s">
        <v>68</v>
      </c>
      <c r="L3" s="33" t="s">
        <v>69</v>
      </c>
      <c r="M3" s="32" t="s">
        <v>18</v>
      </c>
      <c r="N3" s="33" t="s">
        <v>68</v>
      </c>
      <c r="O3" s="86" t="s">
        <v>69</v>
      </c>
    </row>
    <row r="4" spans="1:19" customFormat="1" ht="13.35" customHeight="1">
      <c r="A4" s="114"/>
      <c r="B4" s="116" t="s">
        <v>3</v>
      </c>
      <c r="C4" s="16"/>
      <c r="D4" s="19">
        <v>1754024</v>
      </c>
      <c r="E4" s="15">
        <v>230309.11362700001</v>
      </c>
      <c r="F4" s="15">
        <v>39719.951332999997</v>
      </c>
      <c r="G4" s="19">
        <v>1902213</v>
      </c>
      <c r="H4" s="15">
        <v>273372.35041900002</v>
      </c>
      <c r="I4" s="15">
        <v>47346.576424999999</v>
      </c>
      <c r="J4" s="19">
        <v>1999424</v>
      </c>
      <c r="K4" s="15">
        <v>296332.48212300002</v>
      </c>
      <c r="L4" s="15">
        <v>48939.000447999999</v>
      </c>
      <c r="M4" s="19">
        <v>2001756</v>
      </c>
      <c r="N4" s="15">
        <v>321686.324937</v>
      </c>
      <c r="O4" s="24">
        <v>53885.037515999997</v>
      </c>
    </row>
    <row r="5" spans="1:19" customFormat="1" ht="13.35" customHeight="1">
      <c r="A5" s="114"/>
      <c r="B5" s="116" t="s">
        <v>4</v>
      </c>
      <c r="C5" s="16"/>
      <c r="D5" s="19">
        <f t="shared" ref="D5:O5" si="0">D22+D23</f>
        <v>2369207</v>
      </c>
      <c r="E5" s="15">
        <f t="shared" si="0"/>
        <v>462261.37724900001</v>
      </c>
      <c r="F5" s="15">
        <f t="shared" si="0"/>
        <v>109804.009737</v>
      </c>
      <c r="G5" s="19">
        <f t="shared" si="0"/>
        <v>2518194</v>
      </c>
      <c r="H5" s="15">
        <f t="shared" si="0"/>
        <v>523446.94483300002</v>
      </c>
      <c r="I5" s="15">
        <f t="shared" si="0"/>
        <v>123185.606883</v>
      </c>
      <c r="J5" s="19">
        <f t="shared" si="0"/>
        <v>2585095</v>
      </c>
      <c r="K5" s="15">
        <f t="shared" si="0"/>
        <v>533824.05891400005</v>
      </c>
      <c r="L5" s="15">
        <f t="shared" si="0"/>
        <v>121612.41871100001</v>
      </c>
      <c r="M5" s="19">
        <f t="shared" si="0"/>
        <v>2520936</v>
      </c>
      <c r="N5" s="15">
        <f t="shared" si="0"/>
        <v>563554.71877899999</v>
      </c>
      <c r="O5" s="24">
        <f t="shared" si="0"/>
        <v>128277.92293</v>
      </c>
    </row>
    <row r="6" spans="1:19" s="1" customFormat="1" ht="13.35" customHeight="1">
      <c r="A6" s="103"/>
      <c r="B6" s="104" t="s">
        <v>9</v>
      </c>
      <c r="C6" s="105"/>
      <c r="D6" s="111">
        <f t="shared" ref="D6:O6" si="1">SUM(D4:D5)</f>
        <v>4123231</v>
      </c>
      <c r="E6" s="112">
        <f t="shared" si="1"/>
        <v>692570.49087600003</v>
      </c>
      <c r="F6" s="112">
        <f t="shared" si="1"/>
        <v>149523.96106999999</v>
      </c>
      <c r="G6" s="111">
        <f t="shared" si="1"/>
        <v>4420407</v>
      </c>
      <c r="H6" s="112">
        <f t="shared" si="1"/>
        <v>796819.29525199998</v>
      </c>
      <c r="I6" s="112">
        <f t="shared" si="1"/>
        <v>170532.18330800001</v>
      </c>
      <c r="J6" s="111">
        <f t="shared" si="1"/>
        <v>4584519</v>
      </c>
      <c r="K6" s="112">
        <f t="shared" si="1"/>
        <v>830156.54103700002</v>
      </c>
      <c r="L6" s="112">
        <f t="shared" si="1"/>
        <v>170551.41915900001</v>
      </c>
      <c r="M6" s="111">
        <f t="shared" si="1"/>
        <v>4522692</v>
      </c>
      <c r="N6" s="112">
        <f t="shared" si="1"/>
        <v>885241.04371599993</v>
      </c>
      <c r="O6" s="113">
        <f t="shared" si="1"/>
        <v>182162.96044599998</v>
      </c>
    </row>
    <row r="7" spans="1:19" s="1" customFormat="1" ht="13.35" customHeight="1">
      <c r="A7" s="100"/>
      <c r="B7" s="101" t="s">
        <v>92</v>
      </c>
      <c r="C7" s="102"/>
      <c r="D7" s="108"/>
      <c r="E7" s="109"/>
      <c r="F7" s="109"/>
      <c r="G7" s="108"/>
      <c r="H7" s="109"/>
      <c r="I7" s="109"/>
      <c r="J7" s="108"/>
      <c r="K7" s="109"/>
      <c r="L7" s="109"/>
      <c r="M7" s="108"/>
      <c r="N7" s="109"/>
      <c r="O7" s="110"/>
    </row>
    <row r="8" spans="1:19" customFormat="1" ht="13.35" customHeight="1">
      <c r="A8" s="114"/>
      <c r="B8" s="116" t="s">
        <v>3</v>
      </c>
      <c r="C8" s="16"/>
      <c r="D8" s="62">
        <f>A2.1.5!D4/A2.1.5!D$6</f>
        <v>0.42540037169879641</v>
      </c>
      <c r="E8" s="58">
        <f>A2.1.5!E4/A2.1.5!E$6</f>
        <v>0.33254248724298485</v>
      </c>
      <c r="F8" s="58">
        <f>A2.1.5!F4/A2.1.5!F$6</f>
        <v>0.26564271738631251</v>
      </c>
      <c r="G8" s="62">
        <f>A2.1.5!G4/A2.1.5!G$6</f>
        <v>0.43032530714931905</v>
      </c>
      <c r="H8" s="58">
        <f>A2.1.5!H4/A2.1.5!H$6</f>
        <v>0.34307948119221182</v>
      </c>
      <c r="I8" s="58">
        <f>A2.1.5!I4/A2.1.5!I$6</f>
        <v>0.27764012344512612</v>
      </c>
      <c r="J8" s="62">
        <f>A2.1.5!J4/A2.1.5!J$6</f>
        <v>0.43612514202689528</v>
      </c>
      <c r="K8" s="58">
        <f>A2.1.5!K4/A2.1.5!K$6</f>
        <v>0.35695976297775445</v>
      </c>
      <c r="L8" s="58">
        <f>A2.1.5!L4/A2.1.5!L$6</f>
        <v>0.28694572398940654</v>
      </c>
      <c r="M8" s="62">
        <f>A2.1.5!M4/A2.1.5!M$6</f>
        <v>0.44260276843968149</v>
      </c>
      <c r="N8" s="58">
        <f>A2.1.5!N4/A2.1.5!N$6</f>
        <v>0.36338839824535107</v>
      </c>
      <c r="O8" s="59">
        <f>A2.1.5!O4/A2.1.5!O$6</f>
        <v>0.29580677314460735</v>
      </c>
      <c r="Q8" s="98">
        <f>AVERAGE(D8,G8,J8,M8)</f>
        <v>0.4336133973286731</v>
      </c>
    </row>
    <row r="9" spans="1:19" customFormat="1" ht="13.35" customHeight="1">
      <c r="A9" s="114"/>
      <c r="B9" s="116" t="s">
        <v>4</v>
      </c>
      <c r="C9" s="16"/>
      <c r="D9" s="62">
        <f>A2.1.5!D5/A2.1.5!D$6</f>
        <v>0.57459962830120359</v>
      </c>
      <c r="E9" s="58">
        <f>A2.1.5!E5/A2.1.5!E$6</f>
        <v>0.66745751275701515</v>
      </c>
      <c r="F9" s="58">
        <f>A2.1.5!F5/A2.1.5!F$6</f>
        <v>0.7343572826136876</v>
      </c>
      <c r="G9" s="62">
        <f>A2.1.5!G5/A2.1.5!G$6</f>
        <v>0.56967469285068095</v>
      </c>
      <c r="H9" s="58">
        <f>A2.1.5!H5/A2.1.5!H$6</f>
        <v>0.65692051880778823</v>
      </c>
      <c r="I9" s="58">
        <f>A2.1.5!I5/A2.1.5!I$6</f>
        <v>0.72235987655487388</v>
      </c>
      <c r="J9" s="62">
        <f>A2.1.5!J5/A2.1.5!J$6</f>
        <v>0.56387485797310466</v>
      </c>
      <c r="K9" s="58">
        <f>A2.1.5!K5/A2.1.5!K$6</f>
        <v>0.64304023702224555</v>
      </c>
      <c r="L9" s="58">
        <f>A2.1.5!L5/A2.1.5!L$6</f>
        <v>0.71305427601059346</v>
      </c>
      <c r="M9" s="62">
        <f>A2.1.5!M5/A2.1.5!M$6</f>
        <v>0.55739723156031851</v>
      </c>
      <c r="N9" s="58">
        <f>A2.1.5!N5/A2.1.5!N$6</f>
        <v>0.63661160175464904</v>
      </c>
      <c r="O9" s="59">
        <f>A2.1.5!O5/A2.1.5!O$6</f>
        <v>0.70419322685539276</v>
      </c>
      <c r="Q9" s="98">
        <f>AVERAGE(D9,G9,J9,M9)</f>
        <v>0.5663866026713269</v>
      </c>
      <c r="R9" s="98">
        <f>AVERAGE(E9,H9,K9,N9)</f>
        <v>0.65100746758542449</v>
      </c>
      <c r="S9" s="98">
        <f>AVERAGE(F9,I9,L9,O9)</f>
        <v>0.7184911655086369</v>
      </c>
    </row>
    <row r="10" spans="1:19" customFormat="1" ht="13.35" customHeight="1">
      <c r="A10" s="88"/>
      <c r="B10" s="75" t="s">
        <v>9</v>
      </c>
      <c r="C10" s="89"/>
      <c r="D10" s="63">
        <f t="shared" ref="D10:O10" si="2">SUM(D8:D9)</f>
        <v>1</v>
      </c>
      <c r="E10" s="60">
        <f t="shared" si="2"/>
        <v>1</v>
      </c>
      <c r="F10" s="60">
        <f t="shared" si="2"/>
        <v>1</v>
      </c>
      <c r="G10" s="63">
        <f t="shared" si="2"/>
        <v>1</v>
      </c>
      <c r="H10" s="60">
        <f t="shared" si="2"/>
        <v>1</v>
      </c>
      <c r="I10" s="60">
        <f t="shared" si="2"/>
        <v>1</v>
      </c>
      <c r="J10" s="63">
        <f t="shared" si="2"/>
        <v>1</v>
      </c>
      <c r="K10" s="60">
        <f t="shared" si="2"/>
        <v>1</v>
      </c>
      <c r="L10" s="60">
        <f t="shared" si="2"/>
        <v>1</v>
      </c>
      <c r="M10" s="63">
        <f t="shared" si="2"/>
        <v>1</v>
      </c>
      <c r="N10" s="60">
        <f t="shared" si="2"/>
        <v>1</v>
      </c>
      <c r="O10" s="61">
        <f t="shared" si="2"/>
        <v>1</v>
      </c>
    </row>
    <row r="11" spans="1:19" customFormat="1" ht="13.35" customHeight="1">
      <c r="H11" s="1"/>
    </row>
    <row r="12" spans="1:19" customFormat="1" ht="13.35" customHeight="1">
      <c r="D12" s="2"/>
      <c r="H12" s="560" t="s">
        <v>506</v>
      </c>
    </row>
    <row r="13" spans="1:19" customFormat="1" ht="13.35" customHeight="1">
      <c r="F13" s="262"/>
      <c r="H13" s="1"/>
      <c r="I13" s="262"/>
      <c r="L13" s="262"/>
    </row>
    <row r="14" spans="1:19" customFormat="1" ht="13.35" customHeight="1">
      <c r="A14" s="3"/>
      <c r="B14" s="17"/>
      <c r="C14" s="123" t="s">
        <v>263</v>
      </c>
      <c r="D14" s="124">
        <f>D6-A2.1.1!D29</f>
        <v>0</v>
      </c>
      <c r="E14" s="124">
        <f>E6-A2.1.1!E29</f>
        <v>0</v>
      </c>
      <c r="F14" s="124">
        <f>F6-A2.1.1!F29</f>
        <v>2.9999937396496534E-6</v>
      </c>
      <c r="G14" s="124">
        <f>G6-A2.1.1!G29</f>
        <v>0</v>
      </c>
      <c r="H14" s="124">
        <f>H6-A2.1.1!H29</f>
        <v>0</v>
      </c>
      <c r="I14" s="124">
        <f>I6-A2.1.1!I29</f>
        <v>4.9999798648059368E-6</v>
      </c>
      <c r="J14" s="124">
        <f>J6-A2.1.1!J29</f>
        <v>0</v>
      </c>
      <c r="K14" s="124">
        <f>K6-A2.1.1!K29</f>
        <v>0</v>
      </c>
      <c r="L14" s="124">
        <f>L6-A2.1.1!L29</f>
        <v>5.9999583754688501E-6</v>
      </c>
      <c r="M14" s="124">
        <f>M6-A2.1.1!M29</f>
        <v>0</v>
      </c>
      <c r="N14" s="124">
        <f>N6-A2.1.1!N29</f>
        <v>0</v>
      </c>
      <c r="O14" s="125">
        <f>O6-A2.1.1!O29</f>
        <v>-1.0000367183238268E-6</v>
      </c>
    </row>
    <row r="15" spans="1:19" customFormat="1" ht="13.35" customHeight="1">
      <c r="H15" s="1"/>
    </row>
    <row r="16" spans="1:19" customFormat="1" ht="13.35" customHeight="1">
      <c r="C16" s="31"/>
      <c r="E16" s="117">
        <f>AVERAGE(E9,H9,K9,N9)</f>
        <v>0.65100746758542449</v>
      </c>
      <c r="F16" s="118">
        <f>AVERAGE(F9,I9,L9,O9)</f>
        <v>0.7184911655086369</v>
      </c>
      <c r="H16" s="1"/>
    </row>
    <row r="17" spans="3:15" customFormat="1" ht="13.35" customHeight="1">
      <c r="H17" s="1"/>
    </row>
    <row r="18" spans="3:15" customFormat="1" ht="13.35" customHeight="1">
      <c r="D18" s="2"/>
      <c r="E18" s="44"/>
      <c r="F18" s="44"/>
      <c r="G18" s="14"/>
      <c r="H18" s="71"/>
      <c r="I18" s="44"/>
      <c r="J18" s="6"/>
      <c r="K18" s="44"/>
      <c r="L18" s="44"/>
      <c r="M18" s="6"/>
      <c r="N18" s="44"/>
      <c r="O18" s="44"/>
    </row>
    <row r="19" spans="3:15" customFormat="1" ht="13.35" customHeight="1">
      <c r="C19" s="119" t="s">
        <v>240</v>
      </c>
      <c r="D19" s="120"/>
      <c r="E19" s="121"/>
      <c r="F19" s="122"/>
      <c r="G19" s="14"/>
      <c r="H19" s="71"/>
      <c r="I19" s="44"/>
      <c r="J19" s="6"/>
      <c r="K19" s="44"/>
      <c r="L19" s="44"/>
      <c r="M19" s="6"/>
      <c r="N19" s="44"/>
      <c r="O19" s="44"/>
    </row>
    <row r="20" spans="3:15" customFormat="1" ht="13.35" customHeight="1">
      <c r="D20" s="2"/>
      <c r="E20" s="44"/>
      <c r="F20" s="44"/>
      <c r="G20" s="14"/>
      <c r="H20" s="71"/>
      <c r="I20" s="44"/>
      <c r="J20" s="6"/>
      <c r="K20" s="44"/>
      <c r="L20" s="44"/>
      <c r="M20" s="6"/>
      <c r="N20" s="44"/>
      <c r="O20" s="44"/>
    </row>
    <row r="21" spans="3:15">
      <c r="E21" s="44"/>
      <c r="F21" s="44"/>
      <c r="H21" s="71"/>
      <c r="I21" s="44"/>
      <c r="K21" s="44"/>
      <c r="L21" s="44"/>
      <c r="N21" s="44"/>
      <c r="O21" s="44"/>
    </row>
    <row r="22" spans="3:15" ht="13.35" customHeight="1">
      <c r="C22" s="325" t="s">
        <v>265</v>
      </c>
      <c r="D22" s="326">
        <v>2336475</v>
      </c>
      <c r="E22" s="175">
        <v>453669.21476900001</v>
      </c>
      <c r="F22" s="175">
        <v>107137.069131</v>
      </c>
      <c r="G22" s="175">
        <v>2477997</v>
      </c>
      <c r="H22" s="175">
        <v>511253.67352900002</v>
      </c>
      <c r="I22" s="175">
        <v>119492.97822800001</v>
      </c>
      <c r="J22" s="175">
        <v>2538756</v>
      </c>
      <c r="K22" s="175">
        <v>520094.14162100002</v>
      </c>
      <c r="L22" s="175">
        <v>117657.666979</v>
      </c>
      <c r="M22" s="175">
        <v>2472601</v>
      </c>
      <c r="N22" s="175">
        <v>548553.86330500001</v>
      </c>
      <c r="O22" s="176">
        <v>124083.077181</v>
      </c>
    </row>
    <row r="23" spans="3:15" ht="13.35" customHeight="1">
      <c r="C23" s="327" t="s">
        <v>266</v>
      </c>
      <c r="D23" s="328">
        <v>32732</v>
      </c>
      <c r="E23" s="257">
        <v>8592.1624800000009</v>
      </c>
      <c r="F23" s="257">
        <v>2666.9406060000001</v>
      </c>
      <c r="G23" s="257">
        <v>40197</v>
      </c>
      <c r="H23" s="257">
        <v>12193.271304</v>
      </c>
      <c r="I23" s="257">
        <v>3692.628655</v>
      </c>
      <c r="J23" s="257">
        <v>46339</v>
      </c>
      <c r="K23" s="257">
        <v>13729.917293</v>
      </c>
      <c r="L23" s="257">
        <v>3954.7517320000002</v>
      </c>
      <c r="M23" s="257">
        <v>48335</v>
      </c>
      <c r="N23" s="257">
        <v>15000.855474</v>
      </c>
      <c r="O23" s="258">
        <v>4194.8457490000001</v>
      </c>
    </row>
    <row r="24" spans="3:15" ht="13.35" customHeight="1">
      <c r="F24" s="263"/>
    </row>
    <row r="25" spans="3:15" ht="13.35" customHeight="1"/>
  </sheetData>
  <mergeCells count="1">
    <mergeCell ref="B3:C3"/>
  </mergeCells>
  <phoneticPr fontId="7" type="noConversion"/>
  <hyperlinks>
    <hyperlink ref="H12" location="CONTENTS!A1" display="BACK TO CONTENTS"/>
  </hyperlinks>
  <pageMargins left="0.98425196850393704" right="0.98425196850393704" top="0.98425196850393704" bottom="0.98425196850393704" header="0.51181102362204722" footer="0.51181102362204722"/>
  <pageSetup paperSize="9" scale="91" orientation="landscape" r:id="rId1"/>
  <headerFooter alignWithMargins="0"/>
</worksheet>
</file>

<file path=xl/worksheets/sheet25.xml><?xml version="1.0" encoding="utf-8"?>
<worksheet xmlns="http://schemas.openxmlformats.org/spreadsheetml/2006/main" xmlns:r="http://schemas.openxmlformats.org/officeDocument/2006/relationships">
  <sheetPr codeName="Sheet60">
    <pageSetUpPr fitToPage="1"/>
  </sheetPr>
  <dimension ref="A1:O65"/>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5.7109375" style="2" customWidth="1"/>
    <col min="4" max="6" width="9.7109375" style="2" customWidth="1"/>
    <col min="7" max="7" width="9.7109375" style="14" customWidth="1"/>
    <col min="8" max="15" width="9.7109375" style="6" customWidth="1"/>
    <col min="16" max="16384" width="9.140625" style="10"/>
  </cols>
  <sheetData>
    <row r="1" spans="1:15" s="77" customFormat="1" ht="15" customHeight="1">
      <c r="A1" s="455" t="s">
        <v>488</v>
      </c>
      <c r="B1" s="53"/>
      <c r="C1" s="53"/>
      <c r="D1" s="78"/>
      <c r="E1" s="78"/>
      <c r="F1" s="78"/>
      <c r="G1" s="66"/>
      <c r="H1" s="4"/>
      <c r="I1" s="5"/>
      <c r="J1" s="4"/>
      <c r="K1" s="4"/>
      <c r="L1" s="4"/>
      <c r="M1" s="4"/>
      <c r="N1" s="4"/>
      <c r="O1" s="4"/>
    </row>
    <row r="2" spans="1:15" s="8" customFormat="1" ht="15" customHeight="1">
      <c r="A2" s="90"/>
      <c r="B2" s="91" t="s">
        <v>183</v>
      </c>
      <c r="C2" s="92"/>
      <c r="D2" s="84" t="s">
        <v>463</v>
      </c>
      <c r="E2" s="67"/>
      <c r="F2" s="67"/>
      <c r="G2" s="65" t="s">
        <v>464</v>
      </c>
      <c r="H2" s="67"/>
      <c r="I2" s="67"/>
      <c r="J2" s="65" t="s">
        <v>465</v>
      </c>
      <c r="K2" s="67"/>
      <c r="L2" s="67"/>
      <c r="M2" s="65" t="s">
        <v>466</v>
      </c>
      <c r="N2" s="67"/>
      <c r="O2" s="85"/>
    </row>
    <row r="3" spans="1:15" ht="11.25">
      <c r="A3" s="80"/>
      <c r="B3" s="703" t="s">
        <v>95</v>
      </c>
      <c r="C3" s="702"/>
      <c r="D3" s="32" t="s">
        <v>220</v>
      </c>
      <c r="E3" s="33" t="s">
        <v>219</v>
      </c>
      <c r="F3" s="33" t="s">
        <v>9</v>
      </c>
      <c r="G3" s="32" t="s">
        <v>220</v>
      </c>
      <c r="H3" s="33" t="s">
        <v>219</v>
      </c>
      <c r="I3" s="33" t="s">
        <v>9</v>
      </c>
      <c r="J3" s="32" t="s">
        <v>220</v>
      </c>
      <c r="K3" s="33" t="s">
        <v>219</v>
      </c>
      <c r="L3" s="33" t="s">
        <v>9</v>
      </c>
      <c r="M3" s="32" t="s">
        <v>220</v>
      </c>
      <c r="N3" s="33" t="s">
        <v>219</v>
      </c>
      <c r="O3" s="86" t="s">
        <v>9</v>
      </c>
    </row>
    <row r="4" spans="1:15" ht="13.35" customHeight="1">
      <c r="A4" s="49"/>
      <c r="B4" s="16" t="s">
        <v>19</v>
      </c>
      <c r="C4" s="16" t="s">
        <v>44</v>
      </c>
      <c r="D4" s="162">
        <f>A2.1.6!D39/A2.1.6!$F39</f>
        <v>0.31900909419909174</v>
      </c>
      <c r="E4" s="23">
        <f>A2.1.6!E39/A2.1.6!$F39</f>
        <v>0.68099090580090826</v>
      </c>
      <c r="F4" s="23">
        <f>A2.1.6!F39/A2.1.6!$F39</f>
        <v>1</v>
      </c>
      <c r="G4" s="162">
        <f>A2.1.6!G39/A2.1.6!$I39</f>
        <v>0.32886348907087726</v>
      </c>
      <c r="H4" s="23">
        <f>A2.1.6!H39/A2.1.6!$I39</f>
        <v>0.67113651092912274</v>
      </c>
      <c r="I4" s="23">
        <f>A2.1.6!I39/A2.1.6!$I39</f>
        <v>1</v>
      </c>
      <c r="J4" s="162">
        <f>A2.1.6!J39/A2.1.6!$L39</f>
        <v>0.33594754283962119</v>
      </c>
      <c r="K4" s="23">
        <f>A2.1.6!K39/A2.1.6!$L39</f>
        <v>0.66405245716037875</v>
      </c>
      <c r="L4" s="23">
        <f>A2.1.6!L39/A2.1.6!$L39</f>
        <v>1</v>
      </c>
      <c r="M4" s="162">
        <f>A2.1.6!M39/A2.1.6!$O39</f>
        <v>0.3461094094255468</v>
      </c>
      <c r="N4" s="23">
        <f>A2.1.6!N39/A2.1.6!$O39</f>
        <v>0.6538905905744532</v>
      </c>
      <c r="O4" s="163">
        <f>A2.1.6!O39/A2.1.6!$O39</f>
        <v>1</v>
      </c>
    </row>
    <row r="5" spans="1:15" s="51" customFormat="1" ht="13.35" customHeight="1">
      <c r="A5" s="49"/>
      <c r="B5" s="16" t="s">
        <v>20</v>
      </c>
      <c r="C5" s="50" t="s">
        <v>137</v>
      </c>
      <c r="D5" s="162">
        <f>A2.1.6!D40/A2.1.6!$F40</f>
        <v>0.42739914808318719</v>
      </c>
      <c r="E5" s="23">
        <f>A2.1.6!E40/A2.1.6!$F40</f>
        <v>0.57260085191681287</v>
      </c>
      <c r="F5" s="23">
        <f>A2.1.6!F40/A2.1.6!$F40</f>
        <v>1</v>
      </c>
      <c r="G5" s="162">
        <f>A2.1.6!G40/A2.1.6!$I40</f>
        <v>0.43020113471006077</v>
      </c>
      <c r="H5" s="23">
        <f>A2.1.6!H40/A2.1.6!$I40</f>
        <v>0.56979886528993917</v>
      </c>
      <c r="I5" s="23">
        <f>A2.1.6!I40/A2.1.6!$I40</f>
        <v>1</v>
      </c>
      <c r="J5" s="162">
        <f>A2.1.6!J40/A2.1.6!$L40</f>
        <v>0.43421773538961039</v>
      </c>
      <c r="K5" s="23">
        <f>A2.1.6!K40/A2.1.6!$L40</f>
        <v>0.56578226461038961</v>
      </c>
      <c r="L5" s="23">
        <f>A2.1.6!L40/A2.1.6!$L40</f>
        <v>1</v>
      </c>
      <c r="M5" s="162">
        <f>A2.1.6!M40/A2.1.6!$O40</f>
        <v>0.45172272201276642</v>
      </c>
      <c r="N5" s="23">
        <f>A2.1.6!N40/A2.1.6!$O40</f>
        <v>0.54827727798723358</v>
      </c>
      <c r="O5" s="163">
        <f>A2.1.6!O40/A2.1.6!$O40</f>
        <v>1</v>
      </c>
    </row>
    <row r="6" spans="1:15" ht="13.35" customHeight="1">
      <c r="A6" s="49"/>
      <c r="B6" s="16" t="s">
        <v>21</v>
      </c>
      <c r="C6" s="16" t="s">
        <v>45</v>
      </c>
      <c r="D6" s="162">
        <f>A2.1.6!D41/A2.1.6!$F41</f>
        <v>0.48007252348772045</v>
      </c>
      <c r="E6" s="23">
        <f>A2.1.6!E41/A2.1.6!$F41</f>
        <v>0.51992747651227955</v>
      </c>
      <c r="F6" s="23">
        <f>A2.1.6!F41/A2.1.6!$F41</f>
        <v>1</v>
      </c>
      <c r="G6" s="162">
        <f>A2.1.6!G41/A2.1.6!$I41</f>
        <v>0.47390414576181672</v>
      </c>
      <c r="H6" s="23">
        <f>A2.1.6!H41/A2.1.6!$I41</f>
        <v>0.52609585423818328</v>
      </c>
      <c r="I6" s="23">
        <f>A2.1.6!I41/A2.1.6!$I41</f>
        <v>1</v>
      </c>
      <c r="J6" s="162">
        <f>A2.1.6!J41/A2.1.6!$L41</f>
        <v>0.46904692318244989</v>
      </c>
      <c r="K6" s="23">
        <f>A2.1.6!K41/A2.1.6!$L41</f>
        <v>0.53095307681755011</v>
      </c>
      <c r="L6" s="23">
        <f>A2.1.6!L41/A2.1.6!$L41</f>
        <v>1</v>
      </c>
      <c r="M6" s="162">
        <f>A2.1.6!M41/A2.1.6!$O41</f>
        <v>0.49224039675938763</v>
      </c>
      <c r="N6" s="23">
        <f>A2.1.6!N41/A2.1.6!$O41</f>
        <v>0.50775960324061242</v>
      </c>
      <c r="O6" s="163">
        <f>A2.1.6!O41/A2.1.6!$O41</f>
        <v>1</v>
      </c>
    </row>
    <row r="7" spans="1:15" ht="13.35" customHeight="1">
      <c r="A7" s="49"/>
      <c r="B7" s="16" t="s">
        <v>22</v>
      </c>
      <c r="C7" s="16" t="s">
        <v>46</v>
      </c>
      <c r="D7" s="162">
        <f>A2.1.6!D42/A2.1.6!$F42</f>
        <v>0.46076641260940759</v>
      </c>
      <c r="E7" s="23">
        <f>A2.1.6!E42/A2.1.6!$F42</f>
        <v>0.53923358739059246</v>
      </c>
      <c r="F7" s="23">
        <f>A2.1.6!F42/A2.1.6!$F42</f>
        <v>1</v>
      </c>
      <c r="G7" s="162">
        <f>A2.1.6!G42/A2.1.6!$I42</f>
        <v>0.46327945120938069</v>
      </c>
      <c r="H7" s="23">
        <f>A2.1.6!H42/A2.1.6!$I42</f>
        <v>0.53672054879061926</v>
      </c>
      <c r="I7" s="23">
        <f>A2.1.6!I42/A2.1.6!$I42</f>
        <v>1</v>
      </c>
      <c r="J7" s="162">
        <f>A2.1.6!J42/A2.1.6!$L42</f>
        <v>0.45973215093656683</v>
      </c>
      <c r="K7" s="23">
        <f>A2.1.6!K42/A2.1.6!$L42</f>
        <v>0.54026784906343317</v>
      </c>
      <c r="L7" s="23">
        <f>A2.1.6!L42/A2.1.6!$L42</f>
        <v>1</v>
      </c>
      <c r="M7" s="162">
        <f>A2.1.6!M42/A2.1.6!$O42</f>
        <v>0.47000557876879989</v>
      </c>
      <c r="N7" s="23">
        <f>A2.1.6!N42/A2.1.6!$O42</f>
        <v>0.52999442123120011</v>
      </c>
      <c r="O7" s="163">
        <f>A2.1.6!O42/A2.1.6!$O42</f>
        <v>1</v>
      </c>
    </row>
    <row r="8" spans="1:15" ht="13.35" customHeight="1">
      <c r="A8" s="49"/>
      <c r="B8" s="16" t="s">
        <v>23</v>
      </c>
      <c r="C8" s="16" t="s">
        <v>47</v>
      </c>
      <c r="D8" s="162">
        <f>A2.1.6!D43/A2.1.6!$F43</f>
        <v>0.4630424671746986</v>
      </c>
      <c r="E8" s="23">
        <f>A2.1.6!E43/A2.1.6!$F43</f>
        <v>0.53695753282530145</v>
      </c>
      <c r="F8" s="23">
        <f>A2.1.6!F43/A2.1.6!$F43</f>
        <v>1</v>
      </c>
      <c r="G8" s="162">
        <f>A2.1.6!G43/A2.1.6!$I43</f>
        <v>0.45829655999920671</v>
      </c>
      <c r="H8" s="23">
        <f>A2.1.6!H43/A2.1.6!$I43</f>
        <v>0.54170344000079329</v>
      </c>
      <c r="I8" s="23">
        <f>A2.1.6!I43/A2.1.6!$I43</f>
        <v>1</v>
      </c>
      <c r="J8" s="162">
        <f>A2.1.6!J43/A2.1.6!$L43</f>
        <v>0.44895926700527838</v>
      </c>
      <c r="K8" s="23">
        <f>A2.1.6!K43/A2.1.6!$L43</f>
        <v>0.55104073299472167</v>
      </c>
      <c r="L8" s="23">
        <f>A2.1.6!L43/A2.1.6!$L43</f>
        <v>1</v>
      </c>
      <c r="M8" s="162">
        <f>A2.1.6!M43/A2.1.6!$O43</f>
        <v>0.45736109122885948</v>
      </c>
      <c r="N8" s="23">
        <f>A2.1.6!N43/A2.1.6!$O43</f>
        <v>0.54263890877114052</v>
      </c>
      <c r="O8" s="163">
        <f>A2.1.6!O43/A2.1.6!$O43</f>
        <v>1</v>
      </c>
    </row>
    <row r="9" spans="1:15" ht="13.35" customHeight="1">
      <c r="A9" s="49"/>
      <c r="B9" s="16" t="s">
        <v>24</v>
      </c>
      <c r="C9" s="16" t="s">
        <v>48</v>
      </c>
      <c r="D9" s="162">
        <f>A2.1.6!D44/A2.1.6!$F44</f>
        <v>0.46596152881576969</v>
      </c>
      <c r="E9" s="23">
        <f>A2.1.6!E44/A2.1.6!$F44</f>
        <v>0.53403847118423031</v>
      </c>
      <c r="F9" s="23">
        <f>A2.1.6!F44/A2.1.6!$F44</f>
        <v>1</v>
      </c>
      <c r="G9" s="162">
        <f>A2.1.6!G44/A2.1.6!$I44</f>
        <v>0.45703665058040954</v>
      </c>
      <c r="H9" s="23">
        <f>A2.1.6!H44/A2.1.6!$I44</f>
        <v>0.54296334941959046</v>
      </c>
      <c r="I9" s="23">
        <f>A2.1.6!I44/A2.1.6!$I44</f>
        <v>1</v>
      </c>
      <c r="J9" s="162">
        <f>A2.1.6!J44/A2.1.6!$L44</f>
        <v>0.45056083681457848</v>
      </c>
      <c r="K9" s="23">
        <f>A2.1.6!K44/A2.1.6!$L44</f>
        <v>0.54943916318542152</v>
      </c>
      <c r="L9" s="23">
        <f>A2.1.6!L44/A2.1.6!$L44</f>
        <v>1</v>
      </c>
      <c r="M9" s="162">
        <f>A2.1.6!M44/A2.1.6!$O44</f>
        <v>0.45436161740888875</v>
      </c>
      <c r="N9" s="23">
        <f>A2.1.6!N44/A2.1.6!$O44</f>
        <v>0.54563838259111119</v>
      </c>
      <c r="O9" s="163">
        <f>A2.1.6!O44/A2.1.6!$O44</f>
        <v>1</v>
      </c>
    </row>
    <row r="10" spans="1:15" s="51" customFormat="1" ht="13.35" customHeight="1">
      <c r="A10" s="49"/>
      <c r="B10" s="16" t="s">
        <v>25</v>
      </c>
      <c r="C10" s="16" t="s">
        <v>49</v>
      </c>
      <c r="D10" s="162">
        <f>A2.1.6!D45/A2.1.6!$F45</f>
        <v>0.48995018038137778</v>
      </c>
      <c r="E10" s="23">
        <f>A2.1.6!E45/A2.1.6!$F45</f>
        <v>0.51004981961862228</v>
      </c>
      <c r="F10" s="23">
        <f>A2.1.6!F45/A2.1.6!$F45</f>
        <v>1</v>
      </c>
      <c r="G10" s="162">
        <f>A2.1.6!G45/A2.1.6!$I45</f>
        <v>0.48367050112389265</v>
      </c>
      <c r="H10" s="23">
        <f>A2.1.6!H45/A2.1.6!$I45</f>
        <v>0.51632949887610735</v>
      </c>
      <c r="I10" s="23">
        <f>A2.1.6!I45/A2.1.6!$I45</f>
        <v>1</v>
      </c>
      <c r="J10" s="162">
        <f>A2.1.6!J45/A2.1.6!$L45</f>
        <v>0.46204837032382201</v>
      </c>
      <c r="K10" s="23">
        <f>A2.1.6!K45/A2.1.6!$L45</f>
        <v>0.53795162967617793</v>
      </c>
      <c r="L10" s="23">
        <f>A2.1.6!L45/A2.1.6!$L45</f>
        <v>1</v>
      </c>
      <c r="M10" s="162">
        <f>A2.1.6!M45/A2.1.6!$O45</f>
        <v>0.4603361570197495</v>
      </c>
      <c r="N10" s="23">
        <f>A2.1.6!N45/A2.1.6!$O45</f>
        <v>0.5396638429802505</v>
      </c>
      <c r="O10" s="163">
        <f>A2.1.6!O45/A2.1.6!$O45</f>
        <v>1</v>
      </c>
    </row>
    <row r="11" spans="1:15" s="1" customFormat="1" ht="13.35" customHeight="1">
      <c r="A11" s="26"/>
      <c r="B11" s="16" t="s">
        <v>26</v>
      </c>
      <c r="C11" s="16" t="s">
        <v>50</v>
      </c>
      <c r="D11" s="162">
        <f>A2.1.6!D46/A2.1.6!$F46</f>
        <v>0.47488760806916425</v>
      </c>
      <c r="E11" s="23">
        <f>A2.1.6!E46/A2.1.6!$F46</f>
        <v>0.5251123919308357</v>
      </c>
      <c r="F11" s="23">
        <f>A2.1.6!F46/A2.1.6!$F46</f>
        <v>1</v>
      </c>
      <c r="G11" s="162">
        <f>A2.1.6!G46/A2.1.6!$I46</f>
        <v>0.48302843166550463</v>
      </c>
      <c r="H11" s="23">
        <f>A2.1.6!H46/A2.1.6!$I46</f>
        <v>0.51697156833449542</v>
      </c>
      <c r="I11" s="23">
        <f>A2.1.6!I46/A2.1.6!$I46</f>
        <v>1</v>
      </c>
      <c r="J11" s="162">
        <f>A2.1.6!J46/A2.1.6!$L46</f>
        <v>0.48994616087151777</v>
      </c>
      <c r="K11" s="23">
        <f>A2.1.6!K46/A2.1.6!$L46</f>
        <v>0.51005383912848223</v>
      </c>
      <c r="L11" s="23">
        <f>A2.1.6!L46/A2.1.6!$L46</f>
        <v>1</v>
      </c>
      <c r="M11" s="162">
        <f>A2.1.6!M46/A2.1.6!$O46</f>
        <v>0.47328317682995813</v>
      </c>
      <c r="N11" s="23">
        <f>A2.1.6!N46/A2.1.6!$O46</f>
        <v>0.52671682317004187</v>
      </c>
      <c r="O11" s="163">
        <f>A2.1.6!O46/A2.1.6!$O46</f>
        <v>1</v>
      </c>
    </row>
    <row r="12" spans="1:15" s="1" customFormat="1" ht="13.35" customHeight="1">
      <c r="A12" s="26"/>
      <c r="B12" s="16" t="s">
        <v>27</v>
      </c>
      <c r="C12" s="16" t="s">
        <v>51</v>
      </c>
      <c r="D12" s="162">
        <f>A2.1.6!D47/A2.1.6!$F47</f>
        <v>0.48321711976899057</v>
      </c>
      <c r="E12" s="23">
        <f>A2.1.6!E47/A2.1.6!$F47</f>
        <v>0.51678288023100949</v>
      </c>
      <c r="F12" s="23">
        <f>A2.1.6!F47/A2.1.6!$F47</f>
        <v>1</v>
      </c>
      <c r="G12" s="162">
        <f>A2.1.6!G47/A2.1.6!$I47</f>
        <v>0.47727322142981388</v>
      </c>
      <c r="H12" s="23">
        <f>A2.1.6!H47/A2.1.6!$I47</f>
        <v>0.52272677857018612</v>
      </c>
      <c r="I12" s="23">
        <f>A2.1.6!I47/A2.1.6!$I47</f>
        <v>1</v>
      </c>
      <c r="J12" s="162">
        <f>A2.1.6!J47/A2.1.6!$L47</f>
        <v>0.48702530530913335</v>
      </c>
      <c r="K12" s="23">
        <f>A2.1.6!K47/A2.1.6!$L47</f>
        <v>0.51297469469086665</v>
      </c>
      <c r="L12" s="23">
        <f>A2.1.6!L47/A2.1.6!$L47</f>
        <v>1</v>
      </c>
      <c r="M12" s="162">
        <f>A2.1.6!M47/A2.1.6!$O47</f>
        <v>0.49537346498348006</v>
      </c>
      <c r="N12" s="23">
        <f>A2.1.6!N47/A2.1.6!$O47</f>
        <v>0.50462653501651988</v>
      </c>
      <c r="O12" s="163">
        <f>A2.1.6!O47/A2.1.6!$O47</f>
        <v>1</v>
      </c>
    </row>
    <row r="13" spans="1:15" s="1" customFormat="1" ht="13.35" customHeight="1">
      <c r="A13" s="26"/>
      <c r="B13" s="27" t="s">
        <v>28</v>
      </c>
      <c r="C13" s="27" t="s">
        <v>52</v>
      </c>
      <c r="D13" s="162">
        <f>A2.1.6!D48/A2.1.6!$F48</f>
        <v>0.50374955299859059</v>
      </c>
      <c r="E13" s="23">
        <f>A2.1.6!E48/A2.1.6!$F48</f>
        <v>0.49625044700140936</v>
      </c>
      <c r="F13" s="23">
        <f>A2.1.6!F48/A2.1.6!$F48</f>
        <v>1</v>
      </c>
      <c r="G13" s="162">
        <f>A2.1.6!G48/A2.1.6!$I48</f>
        <v>0.4855733689355739</v>
      </c>
      <c r="H13" s="23">
        <f>A2.1.6!H48/A2.1.6!$I48</f>
        <v>0.5144266310644261</v>
      </c>
      <c r="I13" s="23">
        <f>A2.1.6!I48/A2.1.6!$I48</f>
        <v>1</v>
      </c>
      <c r="J13" s="162">
        <f>A2.1.6!J48/A2.1.6!$L48</f>
        <v>0.47875087065132577</v>
      </c>
      <c r="K13" s="23">
        <f>A2.1.6!K48/A2.1.6!$L48</f>
        <v>0.52124912934867429</v>
      </c>
      <c r="L13" s="23">
        <f>A2.1.6!L48/A2.1.6!$L48</f>
        <v>1</v>
      </c>
      <c r="M13" s="162">
        <f>A2.1.6!M48/A2.1.6!$O48</f>
        <v>0.49013135524505519</v>
      </c>
      <c r="N13" s="23">
        <f>A2.1.6!N48/A2.1.6!$O48</f>
        <v>0.50986864475494476</v>
      </c>
      <c r="O13" s="163">
        <f>A2.1.6!O48/A2.1.6!$O48</f>
        <v>1</v>
      </c>
    </row>
    <row r="14" spans="1:15" s="1" customFormat="1" ht="13.35" customHeight="1">
      <c r="A14" s="26"/>
      <c r="B14" s="27" t="s">
        <v>29</v>
      </c>
      <c r="C14" s="27" t="s">
        <v>53</v>
      </c>
      <c r="D14" s="162">
        <f>A2.1.6!D49/A2.1.6!$F49</f>
        <v>0.49604316912654739</v>
      </c>
      <c r="E14" s="23">
        <f>A2.1.6!E49/A2.1.6!$F49</f>
        <v>0.50395683087345267</v>
      </c>
      <c r="F14" s="23">
        <f>A2.1.6!F49/A2.1.6!$F49</f>
        <v>1</v>
      </c>
      <c r="G14" s="162">
        <f>A2.1.6!G49/A2.1.6!$I49</f>
        <v>0.49061659342122788</v>
      </c>
      <c r="H14" s="23">
        <f>A2.1.6!H49/A2.1.6!$I49</f>
        <v>0.50938340657877212</v>
      </c>
      <c r="I14" s="23">
        <f>A2.1.6!I49/A2.1.6!$I49</f>
        <v>1</v>
      </c>
      <c r="J14" s="162">
        <f>A2.1.6!J49/A2.1.6!$L49</f>
        <v>0.49027578382505554</v>
      </c>
      <c r="K14" s="23">
        <f>A2.1.6!K49/A2.1.6!$L49</f>
        <v>0.50972421617494446</v>
      </c>
      <c r="L14" s="23">
        <f>A2.1.6!L49/A2.1.6!$L49</f>
        <v>1</v>
      </c>
      <c r="M14" s="162">
        <f>A2.1.6!M49/A2.1.6!$O49</f>
        <v>0.48486983868149786</v>
      </c>
      <c r="N14" s="23">
        <f>A2.1.6!N49/A2.1.6!$O49</f>
        <v>0.51513016131850209</v>
      </c>
      <c r="O14" s="163">
        <f>A2.1.6!O49/A2.1.6!$O49</f>
        <v>1</v>
      </c>
    </row>
    <row r="15" spans="1:15" customFormat="1" ht="13.35" customHeight="1">
      <c r="A15" s="26"/>
      <c r="B15" s="27" t="s">
        <v>30</v>
      </c>
      <c r="C15" s="27" t="s">
        <v>54</v>
      </c>
      <c r="D15" s="162">
        <f>A2.1.6!D50/A2.1.6!$F50</f>
        <v>0.52989525606257126</v>
      </c>
      <c r="E15" s="23">
        <f>A2.1.6!E50/A2.1.6!$F50</f>
        <v>0.47010474393742874</v>
      </c>
      <c r="F15" s="23">
        <f>A2.1.6!F50/A2.1.6!$F50</f>
        <v>1</v>
      </c>
      <c r="G15" s="162">
        <f>A2.1.6!G50/A2.1.6!$I50</f>
        <v>0.49362505508593407</v>
      </c>
      <c r="H15" s="23">
        <f>A2.1.6!H50/A2.1.6!$I50</f>
        <v>0.50637494491406598</v>
      </c>
      <c r="I15" s="23">
        <f>A2.1.6!I50/A2.1.6!$I50</f>
        <v>1</v>
      </c>
      <c r="J15" s="162">
        <f>A2.1.6!J50/A2.1.6!$L50</f>
        <v>0.48191875108563487</v>
      </c>
      <c r="K15" s="23">
        <f>A2.1.6!K50/A2.1.6!$L50</f>
        <v>0.51808124891436513</v>
      </c>
      <c r="L15" s="23">
        <f>A2.1.6!L50/A2.1.6!$L50</f>
        <v>1</v>
      </c>
      <c r="M15" s="162">
        <f>A2.1.6!M50/A2.1.6!$O50</f>
        <v>0.5021485284495818</v>
      </c>
      <c r="N15" s="23">
        <f>A2.1.6!N50/A2.1.6!$O50</f>
        <v>0.4978514715504182</v>
      </c>
      <c r="O15" s="163">
        <f>A2.1.6!O50/A2.1.6!$O50</f>
        <v>1</v>
      </c>
    </row>
    <row r="16" spans="1:15" customFormat="1" ht="13.35" customHeight="1">
      <c r="A16" s="26"/>
      <c r="B16" s="27" t="s">
        <v>31</v>
      </c>
      <c r="C16" s="27" t="s">
        <v>55</v>
      </c>
      <c r="D16" s="162">
        <f>A2.1.6!D51/A2.1.6!$F51</f>
        <v>0.53916059257539983</v>
      </c>
      <c r="E16" s="23">
        <f>A2.1.6!E51/A2.1.6!$F51</f>
        <v>0.46083940742460017</v>
      </c>
      <c r="F16" s="23">
        <f>A2.1.6!F51/A2.1.6!$F51</f>
        <v>1</v>
      </c>
      <c r="G16" s="162">
        <f>A2.1.6!G51/A2.1.6!$I51</f>
        <v>0.4919183473486321</v>
      </c>
      <c r="H16" s="23">
        <f>A2.1.6!H51/A2.1.6!$I51</f>
        <v>0.50808165265136784</v>
      </c>
      <c r="I16" s="23">
        <f>A2.1.6!I51/A2.1.6!$I51</f>
        <v>1</v>
      </c>
      <c r="J16" s="162">
        <f>A2.1.6!J51/A2.1.6!$L51</f>
        <v>0.48131354136348087</v>
      </c>
      <c r="K16" s="23">
        <f>A2.1.6!K51/A2.1.6!$L51</f>
        <v>0.51868645863651919</v>
      </c>
      <c r="L16" s="23">
        <f>A2.1.6!L51/A2.1.6!$L51</f>
        <v>1</v>
      </c>
      <c r="M16" s="162">
        <f>A2.1.6!M51/A2.1.6!$O51</f>
        <v>0.49416975396599222</v>
      </c>
      <c r="N16" s="23">
        <f>A2.1.6!N51/A2.1.6!$O51</f>
        <v>0.50583024603400784</v>
      </c>
      <c r="O16" s="163">
        <f>A2.1.6!O51/A2.1.6!$O51</f>
        <v>1</v>
      </c>
    </row>
    <row r="17" spans="1:15" customFormat="1" ht="13.35" customHeight="1">
      <c r="A17" s="26"/>
      <c r="B17" s="27" t="s">
        <v>32</v>
      </c>
      <c r="C17" s="27" t="s">
        <v>56</v>
      </c>
      <c r="D17" s="162">
        <f>A2.1.6!D52/A2.1.6!$F52</f>
        <v>0.48390226738389852</v>
      </c>
      <c r="E17" s="23">
        <f>A2.1.6!E52/A2.1.6!$F52</f>
        <v>0.51609773261610148</v>
      </c>
      <c r="F17" s="23">
        <f>A2.1.6!F52/A2.1.6!$F52</f>
        <v>1</v>
      </c>
      <c r="G17" s="162">
        <f>A2.1.6!G52/A2.1.6!$I52</f>
        <v>0.52467742412443696</v>
      </c>
      <c r="H17" s="23">
        <f>A2.1.6!H52/A2.1.6!$I52</f>
        <v>0.47532257587556309</v>
      </c>
      <c r="I17" s="23">
        <f>A2.1.6!I52/A2.1.6!$I52</f>
        <v>1</v>
      </c>
      <c r="J17" s="162">
        <f>A2.1.6!J52/A2.1.6!$L52</f>
        <v>0.48358705589088702</v>
      </c>
      <c r="K17" s="23">
        <f>A2.1.6!K52/A2.1.6!$L52</f>
        <v>0.51641294410911298</v>
      </c>
      <c r="L17" s="23">
        <f>A2.1.6!L52/A2.1.6!$L52</f>
        <v>1</v>
      </c>
      <c r="M17" s="162">
        <f>A2.1.6!M52/A2.1.6!$O52</f>
        <v>0.48327666043845091</v>
      </c>
      <c r="N17" s="23">
        <f>A2.1.6!N52/A2.1.6!$O52</f>
        <v>0.51672333956154903</v>
      </c>
      <c r="O17" s="163">
        <f>A2.1.6!O52/A2.1.6!$O52</f>
        <v>1</v>
      </c>
    </row>
    <row r="18" spans="1:15" customFormat="1" ht="13.35" customHeight="1">
      <c r="A18" s="26"/>
      <c r="B18" s="27" t="s">
        <v>33</v>
      </c>
      <c r="C18" s="27" t="s">
        <v>57</v>
      </c>
      <c r="D18" s="162">
        <f>A2.1.6!D53/A2.1.6!$F53</f>
        <v>0.46249537291500747</v>
      </c>
      <c r="E18" s="23">
        <f>A2.1.6!E53/A2.1.6!$F53</f>
        <v>0.53750462708499258</v>
      </c>
      <c r="F18" s="23">
        <f>A2.1.6!F53/A2.1.6!$F53</f>
        <v>1</v>
      </c>
      <c r="G18" s="162">
        <f>A2.1.6!G53/A2.1.6!$I53</f>
        <v>0.53907986835846111</v>
      </c>
      <c r="H18" s="23">
        <f>A2.1.6!H53/A2.1.6!$I53</f>
        <v>0.46092013164153894</v>
      </c>
      <c r="I18" s="23">
        <f>A2.1.6!I53/A2.1.6!$I53</f>
        <v>1</v>
      </c>
      <c r="J18" s="162">
        <f>A2.1.6!J53/A2.1.6!$L53</f>
        <v>0.49427704090597868</v>
      </c>
      <c r="K18" s="23">
        <f>A2.1.6!K53/A2.1.6!$L53</f>
        <v>0.50572295909402132</v>
      </c>
      <c r="L18" s="23">
        <f>A2.1.6!L53/A2.1.6!$L53</f>
        <v>1</v>
      </c>
      <c r="M18" s="162">
        <f>A2.1.6!M53/A2.1.6!$O53</f>
        <v>0.48119076946280886</v>
      </c>
      <c r="N18" s="23">
        <f>A2.1.6!N53/A2.1.6!$O53</f>
        <v>0.51880923053719108</v>
      </c>
      <c r="O18" s="163">
        <f>A2.1.6!O53/A2.1.6!$O53</f>
        <v>1</v>
      </c>
    </row>
    <row r="19" spans="1:15" customFormat="1" ht="13.35" customHeight="1">
      <c r="A19" s="26"/>
      <c r="B19" s="27" t="s">
        <v>34</v>
      </c>
      <c r="C19" s="27" t="s">
        <v>58</v>
      </c>
      <c r="D19" s="162">
        <f>A2.1.6!D54/A2.1.6!$F54</f>
        <v>0.4400135038190488</v>
      </c>
      <c r="E19" s="23">
        <f>A2.1.6!E54/A2.1.6!$F54</f>
        <v>0.5599864961809512</v>
      </c>
      <c r="F19" s="23">
        <f>A2.1.6!F54/A2.1.6!$F54</f>
        <v>1</v>
      </c>
      <c r="G19" s="162">
        <f>A2.1.6!G54/A2.1.6!$I54</f>
        <v>0.47450693589720722</v>
      </c>
      <c r="H19" s="23">
        <f>A2.1.6!H54/A2.1.6!$I54</f>
        <v>0.52549306410279284</v>
      </c>
      <c r="I19" s="23">
        <f>A2.1.6!I54/A2.1.6!$I54</f>
        <v>1</v>
      </c>
      <c r="J19" s="162">
        <f>A2.1.6!J54/A2.1.6!$L54</f>
        <v>0.53197574648209589</v>
      </c>
      <c r="K19" s="23">
        <f>A2.1.6!K54/A2.1.6!$L54</f>
        <v>0.46802425351790411</v>
      </c>
      <c r="L19" s="23">
        <f>A2.1.6!L54/A2.1.6!$L54</f>
        <v>1</v>
      </c>
      <c r="M19" s="162">
        <f>A2.1.6!M54/A2.1.6!$O54</f>
        <v>0.49091642582684664</v>
      </c>
      <c r="N19" s="23">
        <f>A2.1.6!N54/A2.1.6!$O54</f>
        <v>0.50908357417315331</v>
      </c>
      <c r="O19" s="163">
        <f>A2.1.6!O54/A2.1.6!$O54</f>
        <v>1</v>
      </c>
    </row>
    <row r="20" spans="1:15" customFormat="1" ht="13.35" customHeight="1">
      <c r="A20" s="26"/>
      <c r="B20" s="27" t="s">
        <v>35</v>
      </c>
      <c r="C20" s="87" t="s">
        <v>59</v>
      </c>
      <c r="D20" s="162">
        <f>A2.1.6!D55/A2.1.6!$F55</f>
        <v>0.42071667444392596</v>
      </c>
      <c r="E20" s="23">
        <f>A2.1.6!E55/A2.1.6!$F55</f>
        <v>0.57928332555607409</v>
      </c>
      <c r="F20" s="23">
        <f>A2.1.6!F55/A2.1.6!$F55</f>
        <v>1</v>
      </c>
      <c r="G20" s="162">
        <f>A2.1.6!G55/A2.1.6!$I55</f>
        <v>0.44362188335760522</v>
      </c>
      <c r="H20" s="23">
        <f>A2.1.6!H55/A2.1.6!$I55</f>
        <v>0.55637811664239478</v>
      </c>
      <c r="I20" s="23">
        <f>A2.1.6!I55/A2.1.6!$I55</f>
        <v>1</v>
      </c>
      <c r="J20" s="162">
        <f>A2.1.6!J55/A2.1.6!$L55</f>
        <v>0.48443063803519681</v>
      </c>
      <c r="K20" s="23">
        <f>A2.1.6!K55/A2.1.6!$L55</f>
        <v>0.51556936196480319</v>
      </c>
      <c r="L20" s="23">
        <f>A2.1.6!L55/A2.1.6!$L55</f>
        <v>1</v>
      </c>
      <c r="M20" s="162">
        <f>A2.1.6!M55/A2.1.6!$O55</f>
        <v>0.50058829268852634</v>
      </c>
      <c r="N20" s="23">
        <f>A2.1.6!N55/A2.1.6!$O55</f>
        <v>0.49941170731147372</v>
      </c>
      <c r="O20" s="163">
        <f>A2.1.6!O55/A2.1.6!$O55</f>
        <v>1</v>
      </c>
    </row>
    <row r="21" spans="1:15" customFormat="1" ht="13.35" customHeight="1">
      <c r="A21" s="26"/>
      <c r="B21" s="27" t="s">
        <v>36</v>
      </c>
      <c r="C21" s="27" t="s">
        <v>60</v>
      </c>
      <c r="D21" s="162">
        <f>A2.1.6!D56/A2.1.6!$F56</f>
        <v>0.33539855032732774</v>
      </c>
      <c r="E21" s="23">
        <f>A2.1.6!E56/A2.1.6!$F56</f>
        <v>0.66460144967267221</v>
      </c>
      <c r="F21" s="23">
        <f>A2.1.6!F56/A2.1.6!$F56</f>
        <v>1</v>
      </c>
      <c r="G21" s="162">
        <f>A2.1.6!G56/A2.1.6!$I56</f>
        <v>0.38126768400885264</v>
      </c>
      <c r="H21" s="23">
        <f>A2.1.6!H56/A2.1.6!$I56</f>
        <v>0.61873231599114731</v>
      </c>
      <c r="I21" s="23">
        <f>A2.1.6!I56/A2.1.6!$I56</f>
        <v>1</v>
      </c>
      <c r="J21" s="162">
        <f>A2.1.6!J56/A2.1.6!$L56</f>
        <v>0.40985730721628855</v>
      </c>
      <c r="K21" s="23">
        <f>A2.1.6!K56/A2.1.6!$L56</f>
        <v>0.59014269278371145</v>
      </c>
      <c r="L21" s="23">
        <f>A2.1.6!L56/A2.1.6!$L56</f>
        <v>1</v>
      </c>
      <c r="M21" s="162">
        <f>A2.1.6!M56/A2.1.6!$O56</f>
        <v>0.43854580931419301</v>
      </c>
      <c r="N21" s="23">
        <f>A2.1.6!N56/A2.1.6!$O56</f>
        <v>0.56145419068580704</v>
      </c>
      <c r="O21" s="163">
        <f>A2.1.6!O56/A2.1.6!$O56</f>
        <v>1</v>
      </c>
    </row>
    <row r="22" spans="1:15" customFormat="1" ht="13.35" customHeight="1">
      <c r="A22" s="26"/>
      <c r="B22" s="27" t="s">
        <v>37</v>
      </c>
      <c r="C22" s="27" t="s">
        <v>61</v>
      </c>
      <c r="D22" s="162">
        <f>A2.1.6!D57/A2.1.6!$F57</f>
        <v>0.27550808793031939</v>
      </c>
      <c r="E22" s="23">
        <f>A2.1.6!E57/A2.1.6!$F57</f>
        <v>0.72449191206968067</v>
      </c>
      <c r="F22" s="23">
        <f>A2.1.6!F57/A2.1.6!$F57</f>
        <v>1</v>
      </c>
      <c r="G22" s="162">
        <f>A2.1.6!G57/A2.1.6!$I57</f>
        <v>0.30057489748331589</v>
      </c>
      <c r="H22" s="23">
        <f>A2.1.6!H57/A2.1.6!$I57</f>
        <v>0.69942510251668411</v>
      </c>
      <c r="I22" s="23">
        <f>A2.1.6!I57/A2.1.6!$I57</f>
        <v>1</v>
      </c>
      <c r="J22" s="162">
        <f>A2.1.6!J57/A2.1.6!$L57</f>
        <v>0.31270503197108701</v>
      </c>
      <c r="K22" s="23">
        <f>A2.1.6!K57/A2.1.6!$L57</f>
        <v>0.68729496802891299</v>
      </c>
      <c r="L22" s="23">
        <f>A2.1.6!L57/A2.1.6!$L57</f>
        <v>1</v>
      </c>
      <c r="M22" s="162">
        <f>A2.1.6!M57/A2.1.6!$O57</f>
        <v>0.340117562091241</v>
      </c>
      <c r="N22" s="23">
        <f>A2.1.6!N57/A2.1.6!$O57</f>
        <v>0.659882437908759</v>
      </c>
      <c r="O22" s="163">
        <f>A2.1.6!O57/A2.1.6!$O57</f>
        <v>1</v>
      </c>
    </row>
    <row r="23" spans="1:15" customFormat="1" ht="13.35" customHeight="1">
      <c r="A23" s="26"/>
      <c r="B23" s="27" t="s">
        <v>38</v>
      </c>
      <c r="C23" s="27" t="s">
        <v>62</v>
      </c>
      <c r="D23" s="162">
        <f>A2.1.6!D58/A2.1.6!$F58</f>
        <v>0.25350688981070901</v>
      </c>
      <c r="E23" s="23">
        <f>A2.1.6!E58/A2.1.6!$F58</f>
        <v>0.74649311018929099</v>
      </c>
      <c r="F23" s="23">
        <f>A2.1.6!F58/A2.1.6!$F58</f>
        <v>1</v>
      </c>
      <c r="G23" s="162">
        <f>A2.1.6!G58/A2.1.6!$I58</f>
        <v>0.26414414690599181</v>
      </c>
      <c r="H23" s="23">
        <f>A2.1.6!H58/A2.1.6!$I58</f>
        <v>0.73585585309400814</v>
      </c>
      <c r="I23" s="23">
        <f>A2.1.6!I58/A2.1.6!$I58</f>
        <v>1</v>
      </c>
      <c r="J23" s="162">
        <f>A2.1.6!J58/A2.1.6!$L58</f>
        <v>0.26758203976532896</v>
      </c>
      <c r="K23" s="23">
        <f>A2.1.6!K58/A2.1.6!$L58</f>
        <v>0.73241796023467098</v>
      </c>
      <c r="L23" s="23">
        <f>A2.1.6!L58/A2.1.6!$L58</f>
        <v>1</v>
      </c>
      <c r="M23" s="162">
        <f>A2.1.6!M58/A2.1.6!$O58</f>
        <v>0.2804897007384376</v>
      </c>
      <c r="N23" s="23">
        <f>A2.1.6!N58/A2.1.6!$O58</f>
        <v>0.7195102992615624</v>
      </c>
      <c r="O23" s="163">
        <f>A2.1.6!O58/A2.1.6!$O58</f>
        <v>1</v>
      </c>
    </row>
    <row r="24" spans="1:15" customFormat="1" ht="13.35" customHeight="1">
      <c r="A24" s="26"/>
      <c r="B24" s="27" t="s">
        <v>39</v>
      </c>
      <c r="C24" s="27" t="s">
        <v>63</v>
      </c>
      <c r="D24" s="162">
        <f>A2.1.6!D59/A2.1.6!$F59</f>
        <v>0.21105893935664655</v>
      </c>
      <c r="E24" s="23">
        <f>A2.1.6!E59/A2.1.6!$F59</f>
        <v>0.78894106064335345</v>
      </c>
      <c r="F24" s="23">
        <f>A2.1.6!F59/A2.1.6!$F59</f>
        <v>1</v>
      </c>
      <c r="G24" s="162">
        <f>A2.1.6!G59/A2.1.6!$I59</f>
        <v>0.22351942422261789</v>
      </c>
      <c r="H24" s="23">
        <f>A2.1.6!H59/A2.1.6!$I59</f>
        <v>0.77648057577738205</v>
      </c>
      <c r="I24" s="23">
        <f>A2.1.6!I59/A2.1.6!$I59</f>
        <v>1</v>
      </c>
      <c r="J24" s="162">
        <f>A2.1.6!J59/A2.1.6!$L59</f>
        <v>0.23510762328781132</v>
      </c>
      <c r="K24" s="23">
        <f>A2.1.6!K59/A2.1.6!$L59</f>
        <v>0.76489237671218868</v>
      </c>
      <c r="L24" s="23">
        <f>A2.1.6!L59/A2.1.6!$L59</f>
        <v>1</v>
      </c>
      <c r="M24" s="162">
        <f>A2.1.6!M59/A2.1.6!$O59</f>
        <v>0.25376797193923362</v>
      </c>
      <c r="N24" s="23">
        <f>A2.1.6!N59/A2.1.6!$O59</f>
        <v>0.74623202806076638</v>
      </c>
      <c r="O24" s="163">
        <f>A2.1.6!O59/A2.1.6!$O59</f>
        <v>1</v>
      </c>
    </row>
    <row r="25" spans="1:15" customFormat="1" ht="13.35" customHeight="1">
      <c r="A25" s="26"/>
      <c r="B25" s="27" t="s">
        <v>40</v>
      </c>
      <c r="C25" s="27" t="s">
        <v>64</v>
      </c>
      <c r="D25" s="162">
        <f>A2.1.6!D60/A2.1.6!$F60</f>
        <v>0.16813180737546304</v>
      </c>
      <c r="E25" s="23">
        <f>A2.1.6!E60/A2.1.6!$F60</f>
        <v>0.83186819262453693</v>
      </c>
      <c r="F25" s="23">
        <f>A2.1.6!F60/A2.1.6!$F60</f>
        <v>1</v>
      </c>
      <c r="G25" s="162">
        <f>A2.1.6!G60/A2.1.6!$I60</f>
        <v>0.17497963048600559</v>
      </c>
      <c r="H25" s="23">
        <f>A2.1.6!H60/A2.1.6!$I60</f>
        <v>0.82502036951399438</v>
      </c>
      <c r="I25" s="23">
        <f>A2.1.6!I60/A2.1.6!$I60</f>
        <v>1</v>
      </c>
      <c r="J25" s="162">
        <f>A2.1.6!J60/A2.1.6!$L60</f>
        <v>0.1787228656414151</v>
      </c>
      <c r="K25" s="23">
        <f>A2.1.6!K60/A2.1.6!$L60</f>
        <v>0.82127713435858485</v>
      </c>
      <c r="L25" s="23">
        <f>A2.1.6!L60/A2.1.6!$L60</f>
        <v>1</v>
      </c>
      <c r="M25" s="162">
        <f>A2.1.6!M60/A2.1.6!$O60</f>
        <v>0.19945078768608179</v>
      </c>
      <c r="N25" s="23">
        <f>A2.1.6!N60/A2.1.6!$O60</f>
        <v>0.80054921231391818</v>
      </c>
      <c r="O25" s="163">
        <f>A2.1.6!O60/A2.1.6!$O60</f>
        <v>1</v>
      </c>
    </row>
    <row r="26" spans="1:15" customFormat="1" ht="13.35" customHeight="1">
      <c r="A26" s="26"/>
      <c r="B26" s="27" t="s">
        <v>41</v>
      </c>
      <c r="C26" s="27" t="s">
        <v>65</v>
      </c>
      <c r="D26" s="162">
        <f>A2.1.6!D61/A2.1.6!$F61</f>
        <v>0.13832245393102652</v>
      </c>
      <c r="E26" s="23">
        <f>A2.1.6!E61/A2.1.6!$F61</f>
        <v>0.86167754606897351</v>
      </c>
      <c r="F26" s="23">
        <f>A2.1.6!F61/A2.1.6!$F61</f>
        <v>1</v>
      </c>
      <c r="G26" s="162">
        <f>A2.1.6!G61/A2.1.6!$I61</f>
        <v>0.14108285518641828</v>
      </c>
      <c r="H26" s="23">
        <f>A2.1.6!H61/A2.1.6!$I61</f>
        <v>0.85891714481358172</v>
      </c>
      <c r="I26" s="23">
        <f>A2.1.6!I61/A2.1.6!$I61</f>
        <v>1</v>
      </c>
      <c r="J26" s="162">
        <f>A2.1.6!J61/A2.1.6!$L61</f>
        <v>0.13715710723192021</v>
      </c>
      <c r="K26" s="23">
        <f>A2.1.6!K61/A2.1.6!$L61</f>
        <v>0.86284289276807979</v>
      </c>
      <c r="L26" s="23">
        <f>A2.1.6!L61/A2.1.6!$L61</f>
        <v>1</v>
      </c>
      <c r="M26" s="162">
        <f>A2.1.6!M61/A2.1.6!$O61</f>
        <v>0.15239019154557465</v>
      </c>
      <c r="N26" s="23">
        <f>A2.1.6!N61/A2.1.6!$O61</f>
        <v>0.84760980845442535</v>
      </c>
      <c r="O26" s="163">
        <f>A2.1.6!O61/A2.1.6!$O61</f>
        <v>1</v>
      </c>
    </row>
    <row r="27" spans="1:15" customFormat="1" ht="13.35" customHeight="1">
      <c r="A27" s="26"/>
      <c r="B27" s="27" t="s">
        <v>42</v>
      </c>
      <c r="C27" s="27" t="s">
        <v>66</v>
      </c>
      <c r="D27" s="162">
        <f>A2.1.6!D62/A2.1.6!$F62</f>
        <v>9.755390118921009E-2</v>
      </c>
      <c r="E27" s="23">
        <f>A2.1.6!E62/A2.1.6!$F62</f>
        <v>0.90244609881078985</v>
      </c>
      <c r="F27" s="23">
        <f>A2.1.6!F62/A2.1.6!$F62</f>
        <v>1</v>
      </c>
      <c r="G27" s="162">
        <f>A2.1.6!G62/A2.1.6!$I62</f>
        <v>9.6150585043242323E-2</v>
      </c>
      <c r="H27" s="23">
        <f>A2.1.6!H62/A2.1.6!$I62</f>
        <v>0.90384941495675764</v>
      </c>
      <c r="I27" s="23">
        <f>A2.1.6!I62/A2.1.6!$I62</f>
        <v>1</v>
      </c>
      <c r="J27" s="162">
        <f>A2.1.6!J62/A2.1.6!$L62</f>
        <v>9.6178001076619418E-2</v>
      </c>
      <c r="K27" s="23">
        <f>A2.1.6!K62/A2.1.6!$L62</f>
        <v>0.90382199892338055</v>
      </c>
      <c r="L27" s="23">
        <f>A2.1.6!L62/A2.1.6!$L62</f>
        <v>1</v>
      </c>
      <c r="M27" s="162">
        <f>A2.1.6!M62/A2.1.6!$O62</f>
        <v>0.10542285847662024</v>
      </c>
      <c r="N27" s="23">
        <f>A2.1.6!N62/A2.1.6!$O62</f>
        <v>0.89457714152337975</v>
      </c>
      <c r="O27" s="163">
        <f>A2.1.6!O62/A2.1.6!$O62</f>
        <v>1</v>
      </c>
    </row>
    <row r="28" spans="1:15" customFormat="1" ht="13.35" customHeight="1">
      <c r="A28" s="26"/>
      <c r="B28" s="27" t="s">
        <v>43</v>
      </c>
      <c r="C28" s="27" t="s">
        <v>67</v>
      </c>
      <c r="D28" s="162">
        <f>A2.1.6!D63/A2.1.6!$F63</f>
        <v>7.7536552946389017E-2</v>
      </c>
      <c r="E28" s="23">
        <f>A2.1.6!E63/A2.1.6!$F63</f>
        <v>0.92246344705361094</v>
      </c>
      <c r="F28" s="23">
        <f>A2.1.6!F63/A2.1.6!$F63</f>
        <v>1</v>
      </c>
      <c r="G28" s="162">
        <f>A2.1.6!G63/A2.1.6!$I63</f>
        <v>7.1913161465400277E-2</v>
      </c>
      <c r="H28" s="23">
        <f>A2.1.6!H63/A2.1.6!$I63</f>
        <v>0.92808683853459972</v>
      </c>
      <c r="I28" s="23">
        <f>A2.1.6!I63/A2.1.6!$I63</f>
        <v>1</v>
      </c>
      <c r="J28" s="162">
        <f>A2.1.6!J63/A2.1.6!$L63</f>
        <v>7.2533333333333339E-2</v>
      </c>
      <c r="K28" s="23">
        <f>A2.1.6!K63/A2.1.6!$L63</f>
        <v>0.92746666666666666</v>
      </c>
      <c r="L28" s="23">
        <f>A2.1.6!L63/A2.1.6!$L63</f>
        <v>1</v>
      </c>
      <c r="M28" s="162">
        <f>A2.1.6!M63/A2.1.6!$O63</f>
        <v>7.0716658756525871E-2</v>
      </c>
      <c r="N28" s="23">
        <f>A2.1.6!N63/A2.1.6!$O63</f>
        <v>0.92928334124347411</v>
      </c>
      <c r="O28" s="163">
        <f>A2.1.6!O63/A2.1.6!$O63</f>
        <v>1</v>
      </c>
    </row>
    <row r="29" spans="1:15" customFormat="1" ht="13.35" customHeight="1">
      <c r="A29" s="88"/>
      <c r="B29" s="75" t="s">
        <v>9</v>
      </c>
      <c r="C29" s="89"/>
      <c r="D29" s="164">
        <f>A2.1.6!D64/A2.1.6!$F64</f>
        <v>0.42540037169879641</v>
      </c>
      <c r="E29" s="165">
        <f>A2.1.6!E64/A2.1.6!$F64</f>
        <v>0.57459962830120359</v>
      </c>
      <c r="F29" s="165">
        <f>A2.1.6!F64/A2.1.6!$F64</f>
        <v>1</v>
      </c>
      <c r="G29" s="164">
        <f>A2.1.6!G64/A2.1.6!$I64</f>
        <v>0.43032530714931905</v>
      </c>
      <c r="H29" s="165">
        <f>A2.1.6!H64/A2.1.6!$I64</f>
        <v>0.56967469285068095</v>
      </c>
      <c r="I29" s="165">
        <f>A2.1.6!I64/A2.1.6!$I64</f>
        <v>1</v>
      </c>
      <c r="J29" s="164">
        <f>A2.1.6!J64/A2.1.6!$L64</f>
        <v>0.43612514202689528</v>
      </c>
      <c r="K29" s="165">
        <f>A2.1.6!K64/A2.1.6!$L64</f>
        <v>0.56387485797310466</v>
      </c>
      <c r="L29" s="165">
        <f>A2.1.6!L64/A2.1.6!$L64</f>
        <v>1</v>
      </c>
      <c r="M29" s="164">
        <f>A2.1.6!M64/A2.1.6!$O64</f>
        <v>0.44260276843968149</v>
      </c>
      <c r="N29" s="165">
        <f>A2.1.6!N64/A2.1.6!$O64</f>
        <v>0.55739723156031851</v>
      </c>
      <c r="O29" s="166">
        <f>A2.1.6!O64/A2.1.6!$O64</f>
        <v>1</v>
      </c>
    </row>
    <row r="30" spans="1:15" customFormat="1" ht="12" customHeight="1">
      <c r="A30" s="1"/>
      <c r="B30" s="29"/>
      <c r="C30" s="1"/>
      <c r="D30" s="1"/>
      <c r="E30" s="1"/>
      <c r="F30" s="1"/>
      <c r="G30" s="1"/>
      <c r="H30" s="1"/>
      <c r="I30" s="1"/>
      <c r="J30" s="1"/>
      <c r="K30" s="1"/>
      <c r="L30" s="1"/>
      <c r="M30" s="1"/>
      <c r="N30" s="1"/>
      <c r="O30" s="1"/>
    </row>
    <row r="31" spans="1:15" customFormat="1" ht="13.35" customHeight="1">
      <c r="H31" s="560" t="s">
        <v>506</v>
      </c>
      <c r="I31" s="6"/>
    </row>
    <row r="32" spans="1:15" customFormat="1" ht="13.35" customHeight="1">
      <c r="H32" s="1"/>
    </row>
    <row r="33" spans="2:15" ht="13.35" customHeight="1"/>
    <row r="34" spans="2:15" ht="13.35" customHeight="1"/>
    <row r="35" spans="2:15" ht="13.35" customHeight="1"/>
    <row r="36" spans="2:15" ht="13.35" customHeight="1"/>
    <row r="37" spans="2:15" ht="13.35" customHeight="1">
      <c r="B37" s="210" t="s">
        <v>183</v>
      </c>
      <c r="C37" s="92"/>
      <c r="D37" s="84" t="str">
        <f t="shared" ref="D37:M37" si="0">D2</f>
        <v>2008 [95.9% assessed]</v>
      </c>
      <c r="E37" s="244"/>
      <c r="F37" s="244"/>
      <c r="G37" s="84" t="str">
        <f t="shared" si="0"/>
        <v>2009 [96.9% assessed]</v>
      </c>
      <c r="H37" s="244"/>
      <c r="I37" s="244"/>
      <c r="J37" s="84" t="str">
        <f t="shared" si="0"/>
        <v>2010 [96.2% assessed]</v>
      </c>
      <c r="K37" s="244"/>
      <c r="L37" s="244"/>
      <c r="M37" s="84" t="str">
        <f t="shared" si="0"/>
        <v>2011 [94.1% assessed]</v>
      </c>
      <c r="N37" s="244"/>
      <c r="O37" s="245"/>
    </row>
    <row r="38" spans="2:15" ht="13.35" customHeight="1">
      <c r="B38" s="701" t="s">
        <v>95</v>
      </c>
      <c r="C38" s="702"/>
      <c r="D38" s="32" t="s">
        <v>220</v>
      </c>
      <c r="E38" s="33" t="s">
        <v>219</v>
      </c>
      <c r="F38" s="33" t="s">
        <v>9</v>
      </c>
      <c r="G38" s="32" t="s">
        <v>220</v>
      </c>
      <c r="H38" s="33" t="s">
        <v>219</v>
      </c>
      <c r="I38" s="33" t="s">
        <v>9</v>
      </c>
      <c r="J38" s="32" t="s">
        <v>220</v>
      </c>
      <c r="K38" s="33" t="s">
        <v>219</v>
      </c>
      <c r="L38" s="33" t="s">
        <v>9</v>
      </c>
      <c r="M38" s="32" t="s">
        <v>220</v>
      </c>
      <c r="N38" s="33" t="s">
        <v>219</v>
      </c>
      <c r="O38" s="86" t="s">
        <v>9</v>
      </c>
    </row>
    <row r="39" spans="2:15" ht="13.35" customHeight="1">
      <c r="B39" s="212" t="s">
        <v>19</v>
      </c>
      <c r="C39" s="16" t="s">
        <v>44</v>
      </c>
      <c r="D39" s="19">
        <v>27326</v>
      </c>
      <c r="E39" s="15">
        <f t="shared" ref="E39:E63" si="1">F39-D39</f>
        <v>58333</v>
      </c>
      <c r="F39" s="15">
        <f>A2.1.1!D4</f>
        <v>85659</v>
      </c>
      <c r="G39" s="19">
        <v>27909</v>
      </c>
      <c r="H39" s="15">
        <f t="shared" ref="H39" si="2">I39-G39</f>
        <v>56956</v>
      </c>
      <c r="I39" s="15">
        <f>A2.1.1!G4</f>
        <v>84865</v>
      </c>
      <c r="J39" s="19">
        <v>28486</v>
      </c>
      <c r="K39" s="15">
        <f t="shared" ref="K39" si="3">L39-J39</f>
        <v>56307</v>
      </c>
      <c r="L39" s="15">
        <f>A2.1.1!J4</f>
        <v>84793</v>
      </c>
      <c r="M39" s="19">
        <v>25763</v>
      </c>
      <c r="N39" s="15">
        <f t="shared" ref="N39" si="4">O39-M39</f>
        <v>48673</v>
      </c>
      <c r="O39" s="24">
        <f>A2.1.1!M4</f>
        <v>74436</v>
      </c>
    </row>
    <row r="40" spans="2:15" ht="13.35" customHeight="1">
      <c r="B40" s="212" t="s">
        <v>20</v>
      </c>
      <c r="C40" s="50" t="s">
        <v>137</v>
      </c>
      <c r="D40" s="19">
        <v>88699</v>
      </c>
      <c r="E40" s="15">
        <f t="shared" si="1"/>
        <v>118833</v>
      </c>
      <c r="F40" s="15">
        <f>A2.1.1!D5</f>
        <v>207532</v>
      </c>
      <c r="G40" s="19">
        <v>84849</v>
      </c>
      <c r="H40" s="15">
        <f t="shared" ref="H40:H63" si="5">I40-G40</f>
        <v>112382</v>
      </c>
      <c r="I40" s="15">
        <f>A2.1.1!G5</f>
        <v>197231</v>
      </c>
      <c r="J40" s="19">
        <v>85593</v>
      </c>
      <c r="K40" s="15">
        <f t="shared" ref="K40:K63" si="6">L40-J40</f>
        <v>111527</v>
      </c>
      <c r="L40" s="15">
        <f>A2.1.1!J5</f>
        <v>197120</v>
      </c>
      <c r="M40" s="19">
        <v>60506</v>
      </c>
      <c r="N40" s="15">
        <f t="shared" ref="N40:N63" si="7">O40-M40</f>
        <v>73439</v>
      </c>
      <c r="O40" s="24">
        <f>A2.1.1!M5</f>
        <v>133945</v>
      </c>
    </row>
    <row r="41" spans="2:15" ht="13.35" customHeight="1">
      <c r="B41" s="212" t="s">
        <v>21</v>
      </c>
      <c r="C41" s="16" t="s">
        <v>45</v>
      </c>
      <c r="D41" s="19">
        <v>72815</v>
      </c>
      <c r="E41" s="15">
        <f t="shared" si="1"/>
        <v>78860</v>
      </c>
      <c r="F41" s="15">
        <f>A2.1.1!D6</f>
        <v>151675</v>
      </c>
      <c r="G41" s="19">
        <v>71787</v>
      </c>
      <c r="H41" s="15">
        <f t="shared" si="5"/>
        <v>79693</v>
      </c>
      <c r="I41" s="15">
        <f>A2.1.1!G6</f>
        <v>151480</v>
      </c>
      <c r="J41" s="19">
        <v>78639</v>
      </c>
      <c r="K41" s="15">
        <f t="shared" si="6"/>
        <v>89018</v>
      </c>
      <c r="L41" s="15">
        <f>A2.1.1!J6</f>
        <v>167657</v>
      </c>
      <c r="M41" s="19">
        <v>79898</v>
      </c>
      <c r="N41" s="15">
        <f t="shared" si="7"/>
        <v>82417</v>
      </c>
      <c r="O41" s="24">
        <f>A2.1.1!M6</f>
        <v>162315</v>
      </c>
    </row>
    <row r="42" spans="2:15" ht="13.35" customHeight="1">
      <c r="B42" s="212" t="s">
        <v>22</v>
      </c>
      <c r="C42" s="16" t="s">
        <v>46</v>
      </c>
      <c r="D42" s="19">
        <v>39114</v>
      </c>
      <c r="E42" s="15">
        <f t="shared" si="1"/>
        <v>45775</v>
      </c>
      <c r="F42" s="15">
        <f>A2.1.1!D7</f>
        <v>84889</v>
      </c>
      <c r="G42" s="19">
        <v>39035</v>
      </c>
      <c r="H42" s="15">
        <f t="shared" si="5"/>
        <v>45223</v>
      </c>
      <c r="I42" s="15">
        <f>A2.1.1!G7</f>
        <v>84258</v>
      </c>
      <c r="J42" s="19">
        <v>40644</v>
      </c>
      <c r="K42" s="15">
        <f t="shared" si="6"/>
        <v>47764</v>
      </c>
      <c r="L42" s="15">
        <f>A2.1.1!J7</f>
        <v>88408</v>
      </c>
      <c r="M42" s="19">
        <v>41282</v>
      </c>
      <c r="N42" s="15">
        <f t="shared" si="7"/>
        <v>46551</v>
      </c>
      <c r="O42" s="24">
        <f>A2.1.1!M7</f>
        <v>87833</v>
      </c>
    </row>
    <row r="43" spans="2:15" ht="13.35" customHeight="1">
      <c r="B43" s="212" t="s">
        <v>23</v>
      </c>
      <c r="C43" s="16" t="s">
        <v>47</v>
      </c>
      <c r="D43" s="19">
        <v>51770</v>
      </c>
      <c r="E43" s="15">
        <f t="shared" si="1"/>
        <v>60034</v>
      </c>
      <c r="F43" s="15">
        <f>A2.1.1!D8</f>
        <v>111804</v>
      </c>
      <c r="G43" s="19">
        <v>46216</v>
      </c>
      <c r="H43" s="15">
        <f t="shared" si="5"/>
        <v>54627</v>
      </c>
      <c r="I43" s="15">
        <f>A2.1.1!G8</f>
        <v>100843</v>
      </c>
      <c r="J43" s="19">
        <v>45080</v>
      </c>
      <c r="K43" s="15">
        <f t="shared" si="6"/>
        <v>55330</v>
      </c>
      <c r="L43" s="15">
        <f>A2.1.1!J8</f>
        <v>100410</v>
      </c>
      <c r="M43" s="19">
        <v>44729</v>
      </c>
      <c r="N43" s="15">
        <f t="shared" si="7"/>
        <v>53069</v>
      </c>
      <c r="O43" s="24">
        <f>A2.1.1!M8</f>
        <v>97798</v>
      </c>
    </row>
    <row r="44" spans="2:15" ht="13.35" customHeight="1">
      <c r="B44" s="212" t="s">
        <v>24</v>
      </c>
      <c r="C44" s="16" t="s">
        <v>48</v>
      </c>
      <c r="D44" s="19">
        <v>74319</v>
      </c>
      <c r="E44" s="15">
        <f t="shared" si="1"/>
        <v>85177</v>
      </c>
      <c r="F44" s="15">
        <f>A2.1.1!D9</f>
        <v>159496</v>
      </c>
      <c r="G44" s="19">
        <v>70082</v>
      </c>
      <c r="H44" s="15">
        <f t="shared" si="5"/>
        <v>83258</v>
      </c>
      <c r="I44" s="15">
        <f>A2.1.1!G9</f>
        <v>153340</v>
      </c>
      <c r="J44" s="19">
        <v>54790</v>
      </c>
      <c r="K44" s="15">
        <f t="shared" si="6"/>
        <v>66814</v>
      </c>
      <c r="L44" s="15">
        <f>A2.1.1!J9</f>
        <v>121604</v>
      </c>
      <c r="M44" s="19">
        <v>50779</v>
      </c>
      <c r="N44" s="15">
        <f t="shared" si="7"/>
        <v>60980</v>
      </c>
      <c r="O44" s="24">
        <f>A2.1.1!M9</f>
        <v>111759</v>
      </c>
    </row>
    <row r="45" spans="2:15" ht="13.35" customHeight="1">
      <c r="B45" s="212" t="s">
        <v>25</v>
      </c>
      <c r="C45" s="16" t="s">
        <v>49</v>
      </c>
      <c r="D45" s="19">
        <v>77004</v>
      </c>
      <c r="E45" s="15">
        <f t="shared" si="1"/>
        <v>80163</v>
      </c>
      <c r="F45" s="15">
        <f>A2.1.1!D10</f>
        <v>157167</v>
      </c>
      <c r="G45" s="19">
        <v>76818</v>
      </c>
      <c r="H45" s="15">
        <f t="shared" si="5"/>
        <v>82005</v>
      </c>
      <c r="I45" s="15">
        <f>A2.1.1!G10</f>
        <v>158823</v>
      </c>
      <c r="J45" s="19">
        <v>83086</v>
      </c>
      <c r="K45" s="15">
        <f t="shared" si="6"/>
        <v>96735</v>
      </c>
      <c r="L45" s="15">
        <f>A2.1.1!J10</f>
        <v>179821</v>
      </c>
      <c r="M45" s="19">
        <v>75427</v>
      </c>
      <c r="N45" s="15">
        <f t="shared" si="7"/>
        <v>88425</v>
      </c>
      <c r="O45" s="24">
        <f>A2.1.1!M10</f>
        <v>163852</v>
      </c>
    </row>
    <row r="46" spans="2:15" ht="13.35" customHeight="1">
      <c r="B46" s="212" t="s">
        <v>26</v>
      </c>
      <c r="C46" s="16" t="s">
        <v>50</v>
      </c>
      <c r="D46" s="19">
        <v>82393</v>
      </c>
      <c r="E46" s="15">
        <f t="shared" si="1"/>
        <v>91107</v>
      </c>
      <c r="F46" s="15">
        <f>A2.1.1!D11</f>
        <v>173500</v>
      </c>
      <c r="G46" s="19">
        <v>87290</v>
      </c>
      <c r="H46" s="15">
        <f t="shared" si="5"/>
        <v>93424</v>
      </c>
      <c r="I46" s="15">
        <f>A2.1.1!G11</f>
        <v>180714</v>
      </c>
      <c r="J46" s="19">
        <v>97099</v>
      </c>
      <c r="K46" s="15">
        <f t="shared" si="6"/>
        <v>101084</v>
      </c>
      <c r="L46" s="15">
        <f>A2.1.1!J11</f>
        <v>198183</v>
      </c>
      <c r="M46" s="19">
        <v>83667</v>
      </c>
      <c r="N46" s="15">
        <f t="shared" si="7"/>
        <v>93113</v>
      </c>
      <c r="O46" s="24">
        <f>A2.1.1!M11</f>
        <v>176780</v>
      </c>
    </row>
    <row r="47" spans="2:15" ht="13.35" customHeight="1">
      <c r="B47" s="212" t="s">
        <v>27</v>
      </c>
      <c r="C47" s="16" t="s">
        <v>51</v>
      </c>
      <c r="D47" s="19">
        <v>86348</v>
      </c>
      <c r="E47" s="15">
        <f t="shared" si="1"/>
        <v>92346</v>
      </c>
      <c r="F47" s="15">
        <f>A2.1.1!D12</f>
        <v>178694</v>
      </c>
      <c r="G47" s="19">
        <v>87803</v>
      </c>
      <c r="H47" s="15">
        <f t="shared" si="5"/>
        <v>96165</v>
      </c>
      <c r="I47" s="15">
        <f>A2.1.1!G12</f>
        <v>183968</v>
      </c>
      <c r="J47" s="19">
        <v>96788</v>
      </c>
      <c r="K47" s="15">
        <f t="shared" si="6"/>
        <v>101945</v>
      </c>
      <c r="L47" s="15">
        <f>A2.1.1!J12</f>
        <v>198733</v>
      </c>
      <c r="M47" s="19">
        <v>103753</v>
      </c>
      <c r="N47" s="15">
        <f t="shared" si="7"/>
        <v>105691</v>
      </c>
      <c r="O47" s="24">
        <f>A2.1.1!M12</f>
        <v>209444</v>
      </c>
    </row>
    <row r="48" spans="2:15" ht="13.35" customHeight="1">
      <c r="B48" s="49" t="s">
        <v>28</v>
      </c>
      <c r="C48" s="27" t="s">
        <v>52</v>
      </c>
      <c r="D48" s="19">
        <v>95791</v>
      </c>
      <c r="E48" s="15">
        <f t="shared" si="1"/>
        <v>94365</v>
      </c>
      <c r="F48" s="15">
        <f>A2.1.1!D13</f>
        <v>190156</v>
      </c>
      <c r="G48" s="19">
        <v>88016</v>
      </c>
      <c r="H48" s="15">
        <f t="shared" si="5"/>
        <v>93246</v>
      </c>
      <c r="I48" s="15">
        <f>A2.1.1!G13</f>
        <v>181262</v>
      </c>
      <c r="J48" s="19">
        <v>91417</v>
      </c>
      <c r="K48" s="15">
        <f t="shared" si="6"/>
        <v>99532</v>
      </c>
      <c r="L48" s="15">
        <f>A2.1.1!J13</f>
        <v>190949</v>
      </c>
      <c r="M48" s="19">
        <v>93694</v>
      </c>
      <c r="N48" s="15">
        <f t="shared" si="7"/>
        <v>97467</v>
      </c>
      <c r="O48" s="24">
        <f>A2.1.1!M13</f>
        <v>191161</v>
      </c>
    </row>
    <row r="49" spans="2:15" ht="13.35" customHeight="1">
      <c r="B49" s="49" t="s">
        <v>29</v>
      </c>
      <c r="C49" s="27" t="s">
        <v>53</v>
      </c>
      <c r="D49" s="19">
        <v>97533</v>
      </c>
      <c r="E49" s="15">
        <f t="shared" si="1"/>
        <v>99089</v>
      </c>
      <c r="F49" s="15">
        <f>A2.1.1!D14</f>
        <v>196622</v>
      </c>
      <c r="G49" s="19">
        <v>92101</v>
      </c>
      <c r="H49" s="15">
        <f t="shared" si="5"/>
        <v>95624</v>
      </c>
      <c r="I49" s="15">
        <f>A2.1.1!G14</f>
        <v>187725</v>
      </c>
      <c r="J49" s="19">
        <v>91181</v>
      </c>
      <c r="K49" s="15">
        <f t="shared" si="6"/>
        <v>94798</v>
      </c>
      <c r="L49" s="15">
        <f>A2.1.1!J14</f>
        <v>185979</v>
      </c>
      <c r="M49" s="19">
        <v>83257</v>
      </c>
      <c r="N49" s="15">
        <f t="shared" si="7"/>
        <v>88453</v>
      </c>
      <c r="O49" s="24">
        <f>A2.1.1!M14</f>
        <v>171710</v>
      </c>
    </row>
    <row r="50" spans="2:15" ht="13.35" customHeight="1">
      <c r="B50" s="49" t="s">
        <v>30</v>
      </c>
      <c r="C50" s="27" t="s">
        <v>54</v>
      </c>
      <c r="D50" s="19">
        <v>107857</v>
      </c>
      <c r="E50" s="15">
        <f t="shared" si="1"/>
        <v>95687</v>
      </c>
      <c r="F50" s="15">
        <f>A2.1.1!D15</f>
        <v>203544</v>
      </c>
      <c r="G50" s="19">
        <v>98571</v>
      </c>
      <c r="H50" s="15">
        <f t="shared" si="5"/>
        <v>101117</v>
      </c>
      <c r="I50" s="15">
        <f>A2.1.1!G15</f>
        <v>199688</v>
      </c>
      <c r="J50" s="19">
        <v>88781</v>
      </c>
      <c r="K50" s="15">
        <f t="shared" si="6"/>
        <v>95443</v>
      </c>
      <c r="L50" s="15">
        <f>A2.1.1!J15</f>
        <v>184224</v>
      </c>
      <c r="M50" s="19">
        <v>85190</v>
      </c>
      <c r="N50" s="15">
        <f t="shared" si="7"/>
        <v>84461</v>
      </c>
      <c r="O50" s="24">
        <f>A2.1.1!M15</f>
        <v>169651</v>
      </c>
    </row>
    <row r="51" spans="2:15" ht="13.35" customHeight="1">
      <c r="B51" s="49" t="s">
        <v>31</v>
      </c>
      <c r="C51" s="27" t="s">
        <v>55</v>
      </c>
      <c r="D51" s="19">
        <v>120793</v>
      </c>
      <c r="E51" s="15">
        <f t="shared" si="1"/>
        <v>103246</v>
      </c>
      <c r="F51" s="15">
        <f>A2.1.1!D16</f>
        <v>224039</v>
      </c>
      <c r="G51" s="19">
        <v>92368</v>
      </c>
      <c r="H51" s="15">
        <f t="shared" si="5"/>
        <v>95403</v>
      </c>
      <c r="I51" s="15">
        <f>A2.1.1!G16</f>
        <v>187771</v>
      </c>
      <c r="J51" s="19">
        <v>94259</v>
      </c>
      <c r="K51" s="15">
        <f t="shared" si="6"/>
        <v>101578</v>
      </c>
      <c r="L51" s="15">
        <f>A2.1.1!J16</f>
        <v>195837</v>
      </c>
      <c r="M51" s="19">
        <v>83234</v>
      </c>
      <c r="N51" s="15">
        <f t="shared" si="7"/>
        <v>85198</v>
      </c>
      <c r="O51" s="24">
        <f>A2.1.1!M16</f>
        <v>168432</v>
      </c>
    </row>
    <row r="52" spans="2:15" ht="13.35" customHeight="1">
      <c r="B52" s="49" t="s">
        <v>32</v>
      </c>
      <c r="C52" s="27" t="s">
        <v>56</v>
      </c>
      <c r="D52" s="19">
        <v>90767</v>
      </c>
      <c r="E52" s="15">
        <f t="shared" si="1"/>
        <v>96806</v>
      </c>
      <c r="F52" s="15">
        <f>A2.1.1!D17</f>
        <v>187573</v>
      </c>
      <c r="G52" s="19">
        <v>106456</v>
      </c>
      <c r="H52" s="15">
        <f t="shared" si="5"/>
        <v>96442</v>
      </c>
      <c r="I52" s="15">
        <f>A2.1.1!G17</f>
        <v>202898</v>
      </c>
      <c r="J52" s="19">
        <v>85165</v>
      </c>
      <c r="K52" s="15">
        <f t="shared" si="6"/>
        <v>90946</v>
      </c>
      <c r="L52" s="15">
        <f>A2.1.1!J17</f>
        <v>176111</v>
      </c>
      <c r="M52" s="19">
        <v>83285</v>
      </c>
      <c r="N52" s="15">
        <f t="shared" si="7"/>
        <v>89049</v>
      </c>
      <c r="O52" s="24">
        <f>A2.1.1!M17</f>
        <v>172334</v>
      </c>
    </row>
    <row r="53" spans="2:15" ht="13.35" customHeight="1">
      <c r="B53" s="49" t="s">
        <v>33</v>
      </c>
      <c r="C53" s="27" t="s">
        <v>57</v>
      </c>
      <c r="D53" s="19">
        <v>82462</v>
      </c>
      <c r="E53" s="15">
        <f t="shared" si="1"/>
        <v>95836</v>
      </c>
      <c r="F53" s="15">
        <f>A2.1.1!D18</f>
        <v>178298</v>
      </c>
      <c r="G53" s="19">
        <v>111058</v>
      </c>
      <c r="H53" s="15">
        <f t="shared" si="5"/>
        <v>94956</v>
      </c>
      <c r="I53" s="15">
        <f>A2.1.1!G18</f>
        <v>206014</v>
      </c>
      <c r="J53" s="19">
        <v>81574</v>
      </c>
      <c r="K53" s="15">
        <f t="shared" si="6"/>
        <v>83463</v>
      </c>
      <c r="L53" s="15">
        <f>A2.1.1!J18</f>
        <v>165037</v>
      </c>
      <c r="M53" s="19">
        <v>76569</v>
      </c>
      <c r="N53" s="15">
        <f t="shared" si="7"/>
        <v>82555</v>
      </c>
      <c r="O53" s="24">
        <f>A2.1.1!M18</f>
        <v>159124</v>
      </c>
    </row>
    <row r="54" spans="2:15" ht="13.35" customHeight="1">
      <c r="B54" s="49" t="s">
        <v>34</v>
      </c>
      <c r="C54" s="27" t="s">
        <v>58</v>
      </c>
      <c r="D54" s="19">
        <v>72989</v>
      </c>
      <c r="E54" s="15">
        <f t="shared" si="1"/>
        <v>92890</v>
      </c>
      <c r="F54" s="15">
        <f>A2.1.1!D19</f>
        <v>165879</v>
      </c>
      <c r="G54" s="19">
        <v>79804</v>
      </c>
      <c r="H54" s="15">
        <f t="shared" si="5"/>
        <v>88379</v>
      </c>
      <c r="I54" s="15">
        <f>A2.1.1!G19</f>
        <v>168183</v>
      </c>
      <c r="J54" s="19">
        <v>93000</v>
      </c>
      <c r="K54" s="15">
        <f t="shared" si="6"/>
        <v>81820</v>
      </c>
      <c r="L54" s="15">
        <f>A2.1.1!J19</f>
        <v>174820</v>
      </c>
      <c r="M54" s="19">
        <v>74230</v>
      </c>
      <c r="N54" s="15">
        <f t="shared" si="7"/>
        <v>76977</v>
      </c>
      <c r="O54" s="24">
        <f>A2.1.1!M19</f>
        <v>151207</v>
      </c>
    </row>
    <row r="55" spans="2:15" ht="13.35" customHeight="1">
      <c r="B55" s="49" t="s">
        <v>35</v>
      </c>
      <c r="C55" s="87" t="s">
        <v>59</v>
      </c>
      <c r="D55" s="19">
        <v>216383</v>
      </c>
      <c r="E55" s="15">
        <f t="shared" si="1"/>
        <v>297937</v>
      </c>
      <c r="F55" s="15">
        <f>A2.1.1!D20</f>
        <v>514320</v>
      </c>
      <c r="G55" s="19">
        <v>277509</v>
      </c>
      <c r="H55" s="15">
        <f t="shared" si="5"/>
        <v>348044</v>
      </c>
      <c r="I55" s="15">
        <f>A2.1.1!G20</f>
        <v>625553</v>
      </c>
      <c r="J55" s="19">
        <v>339022</v>
      </c>
      <c r="K55" s="15">
        <f t="shared" si="6"/>
        <v>360814</v>
      </c>
      <c r="L55" s="15">
        <f>A2.1.1!J20</f>
        <v>699836</v>
      </c>
      <c r="M55" s="19">
        <v>348876</v>
      </c>
      <c r="N55" s="15">
        <f t="shared" si="7"/>
        <v>348056</v>
      </c>
      <c r="O55" s="24">
        <f>A2.1.1!M20</f>
        <v>696932</v>
      </c>
    </row>
    <row r="56" spans="2:15" ht="13.35" customHeight="1">
      <c r="B56" s="49" t="s">
        <v>36</v>
      </c>
      <c r="C56" s="27" t="s">
        <v>60</v>
      </c>
      <c r="D56" s="19">
        <v>152930</v>
      </c>
      <c r="E56" s="15">
        <f t="shared" si="1"/>
        <v>303035</v>
      </c>
      <c r="F56" s="15">
        <f>A2.1.1!D21</f>
        <v>455965</v>
      </c>
      <c r="G56" s="19">
        <v>210345</v>
      </c>
      <c r="H56" s="15">
        <f t="shared" si="5"/>
        <v>341354</v>
      </c>
      <c r="I56" s="15">
        <f>A2.1.1!G21</f>
        <v>551699</v>
      </c>
      <c r="J56" s="19">
        <v>253998</v>
      </c>
      <c r="K56" s="15">
        <f t="shared" si="6"/>
        <v>365725</v>
      </c>
      <c r="L56" s="15">
        <f>A2.1.1!J21</f>
        <v>619723</v>
      </c>
      <c r="M56" s="19">
        <v>300271</v>
      </c>
      <c r="N56" s="15">
        <f t="shared" si="7"/>
        <v>384426</v>
      </c>
      <c r="O56" s="24">
        <f>A2.1.1!M21</f>
        <v>684697</v>
      </c>
    </row>
    <row r="57" spans="2:15" ht="13.35" customHeight="1">
      <c r="B57" s="49" t="s">
        <v>37</v>
      </c>
      <c r="C57" s="27" t="s">
        <v>61</v>
      </c>
      <c r="D57" s="19">
        <v>55797</v>
      </c>
      <c r="E57" s="15">
        <f t="shared" si="1"/>
        <v>146727</v>
      </c>
      <c r="F57" s="15">
        <f>A2.1.1!D22</f>
        <v>202524</v>
      </c>
      <c r="G57" s="19">
        <v>74765</v>
      </c>
      <c r="H57" s="15">
        <f t="shared" si="5"/>
        <v>173975</v>
      </c>
      <c r="I57" s="15">
        <f>A2.1.1!G22</f>
        <v>248740</v>
      </c>
      <c r="J57" s="19">
        <v>84360</v>
      </c>
      <c r="K57" s="15">
        <f t="shared" si="6"/>
        <v>185415</v>
      </c>
      <c r="L57" s="15">
        <f>A2.1.1!J22</f>
        <v>269775</v>
      </c>
      <c r="M57" s="19">
        <v>101721</v>
      </c>
      <c r="N57" s="15">
        <f t="shared" si="7"/>
        <v>197355</v>
      </c>
      <c r="O57" s="24">
        <f>A2.1.1!M22</f>
        <v>299076</v>
      </c>
    </row>
    <row r="58" spans="2:15" ht="13.35" customHeight="1">
      <c r="B58" s="49" t="s">
        <v>38</v>
      </c>
      <c r="C58" s="27" t="s">
        <v>62</v>
      </c>
      <c r="D58" s="19">
        <v>26584</v>
      </c>
      <c r="E58" s="15">
        <f t="shared" si="1"/>
        <v>78281</v>
      </c>
      <c r="F58" s="15">
        <f>A2.1.1!D23</f>
        <v>104865</v>
      </c>
      <c r="G58" s="19">
        <v>34465</v>
      </c>
      <c r="H58" s="15">
        <f t="shared" si="5"/>
        <v>96013</v>
      </c>
      <c r="I58" s="15">
        <f>A2.1.1!G23</f>
        <v>130478</v>
      </c>
      <c r="J58" s="19">
        <v>36579</v>
      </c>
      <c r="K58" s="15">
        <f t="shared" si="6"/>
        <v>100123</v>
      </c>
      <c r="L58" s="15">
        <f>A2.1.1!J23</f>
        <v>136702</v>
      </c>
      <c r="M58" s="19">
        <v>43302</v>
      </c>
      <c r="N58" s="15">
        <f t="shared" si="7"/>
        <v>111078</v>
      </c>
      <c r="O58" s="24">
        <f>A2.1.1!M23</f>
        <v>154380</v>
      </c>
    </row>
    <row r="59" spans="2:15" ht="13.35" customHeight="1">
      <c r="B59" s="49" t="s">
        <v>39</v>
      </c>
      <c r="C59" s="27" t="s">
        <v>63</v>
      </c>
      <c r="D59" s="19">
        <v>22295</v>
      </c>
      <c r="E59" s="15">
        <f t="shared" si="1"/>
        <v>83339</v>
      </c>
      <c r="F59" s="15">
        <f>A2.1.1!D24</f>
        <v>105634</v>
      </c>
      <c r="G59" s="19">
        <v>29752</v>
      </c>
      <c r="H59" s="15">
        <f t="shared" si="5"/>
        <v>103355</v>
      </c>
      <c r="I59" s="15">
        <f>A2.1.1!G24</f>
        <v>133107</v>
      </c>
      <c r="J59" s="19">
        <v>34483</v>
      </c>
      <c r="K59" s="15">
        <f t="shared" si="6"/>
        <v>112186</v>
      </c>
      <c r="L59" s="15">
        <f>A2.1.1!J24</f>
        <v>146669</v>
      </c>
      <c r="M59" s="19">
        <v>42396</v>
      </c>
      <c r="N59" s="15">
        <f t="shared" si="7"/>
        <v>124670</v>
      </c>
      <c r="O59" s="24">
        <f>A2.1.1!M24</f>
        <v>167066</v>
      </c>
    </row>
    <row r="60" spans="2:15" ht="13.35" customHeight="1">
      <c r="B60" s="49" t="s">
        <v>40</v>
      </c>
      <c r="C60" s="27" t="s">
        <v>64</v>
      </c>
      <c r="D60" s="19">
        <v>6082</v>
      </c>
      <c r="E60" s="15">
        <f t="shared" si="1"/>
        <v>30092</v>
      </c>
      <c r="F60" s="15">
        <f>A2.1.1!D25</f>
        <v>36174</v>
      </c>
      <c r="G60" s="19">
        <v>7946</v>
      </c>
      <c r="H60" s="15">
        <f t="shared" si="5"/>
        <v>37465</v>
      </c>
      <c r="I60" s="15">
        <f>A2.1.1!G25</f>
        <v>45411</v>
      </c>
      <c r="J60" s="19">
        <v>8472</v>
      </c>
      <c r="K60" s="15">
        <f t="shared" si="6"/>
        <v>38931</v>
      </c>
      <c r="L60" s="15">
        <f>A2.1.1!J25</f>
        <v>47403</v>
      </c>
      <c r="M60" s="19">
        <v>11040</v>
      </c>
      <c r="N60" s="15">
        <f t="shared" si="7"/>
        <v>44312</v>
      </c>
      <c r="O60" s="24">
        <f>A2.1.1!M25</f>
        <v>55352</v>
      </c>
    </row>
    <row r="61" spans="2:15" ht="13.35" customHeight="1">
      <c r="B61" s="49" t="s">
        <v>41</v>
      </c>
      <c r="C61" s="27" t="s">
        <v>65</v>
      </c>
      <c r="D61" s="19">
        <v>4789</v>
      </c>
      <c r="E61" s="15">
        <f t="shared" si="1"/>
        <v>29833</v>
      </c>
      <c r="F61" s="15">
        <f>A2.1.1!D26</f>
        <v>34622</v>
      </c>
      <c r="G61" s="19">
        <v>5975</v>
      </c>
      <c r="H61" s="15">
        <f t="shared" si="5"/>
        <v>36376</v>
      </c>
      <c r="I61" s="15">
        <f>A2.1.1!G26</f>
        <v>42351</v>
      </c>
      <c r="J61" s="19">
        <v>5720</v>
      </c>
      <c r="K61" s="15">
        <f t="shared" si="6"/>
        <v>35984</v>
      </c>
      <c r="L61" s="15">
        <f>A2.1.1!J26</f>
        <v>41704</v>
      </c>
      <c r="M61" s="19">
        <v>7383</v>
      </c>
      <c r="N61" s="15">
        <f t="shared" si="7"/>
        <v>41065</v>
      </c>
      <c r="O61" s="24">
        <f>A2.1.1!M26</f>
        <v>48448</v>
      </c>
    </row>
    <row r="62" spans="2:15" ht="13.35" customHeight="1">
      <c r="B62" s="49" t="s">
        <v>42</v>
      </c>
      <c r="C62" s="27" t="s">
        <v>66</v>
      </c>
      <c r="D62" s="19">
        <v>1009</v>
      </c>
      <c r="E62" s="15">
        <f t="shared" si="1"/>
        <v>9334</v>
      </c>
      <c r="F62" s="15">
        <f>A2.1.1!D27</f>
        <v>10343</v>
      </c>
      <c r="G62" s="19">
        <v>1134</v>
      </c>
      <c r="H62" s="15">
        <f t="shared" si="5"/>
        <v>10660</v>
      </c>
      <c r="I62" s="15">
        <f>A2.1.1!G27</f>
        <v>11794</v>
      </c>
      <c r="J62" s="19">
        <v>1072</v>
      </c>
      <c r="K62" s="15">
        <f t="shared" si="6"/>
        <v>10074</v>
      </c>
      <c r="L62" s="15">
        <f>A2.1.1!J27</f>
        <v>11146</v>
      </c>
      <c r="M62" s="19">
        <v>1355</v>
      </c>
      <c r="N62" s="15">
        <f t="shared" si="7"/>
        <v>11498</v>
      </c>
      <c r="O62" s="24">
        <f>A2.1.1!M27</f>
        <v>12853</v>
      </c>
    </row>
    <row r="63" spans="2:15" ht="13.35" customHeight="1">
      <c r="B63" s="49" t="s">
        <v>43</v>
      </c>
      <c r="C63" s="27" t="s">
        <v>67</v>
      </c>
      <c r="D63" s="19">
        <v>175</v>
      </c>
      <c r="E63" s="15">
        <f t="shared" si="1"/>
        <v>2082</v>
      </c>
      <c r="F63" s="15">
        <f>A2.1.1!D28</f>
        <v>2257</v>
      </c>
      <c r="G63" s="19">
        <v>159</v>
      </c>
      <c r="H63" s="15">
        <f t="shared" si="5"/>
        <v>2052</v>
      </c>
      <c r="I63" s="15">
        <f>A2.1.1!G28</f>
        <v>2211</v>
      </c>
      <c r="J63" s="19">
        <v>136</v>
      </c>
      <c r="K63" s="15">
        <f t="shared" si="6"/>
        <v>1739</v>
      </c>
      <c r="L63" s="15">
        <f>A2.1.1!J28</f>
        <v>1875</v>
      </c>
      <c r="M63" s="19">
        <v>149</v>
      </c>
      <c r="N63" s="15">
        <f t="shared" si="7"/>
        <v>1958</v>
      </c>
      <c r="O63" s="24">
        <f>A2.1.1!M28</f>
        <v>2107</v>
      </c>
    </row>
    <row r="64" spans="2:15" ht="13.35" customHeight="1">
      <c r="B64" s="74" t="s">
        <v>9</v>
      </c>
      <c r="C64" s="89"/>
      <c r="D64" s="20">
        <f t="shared" ref="D64:O64" si="8">SUM(D39:D63)</f>
        <v>1754024</v>
      </c>
      <c r="E64" s="18">
        <f t="shared" si="8"/>
        <v>2369207</v>
      </c>
      <c r="F64" s="18">
        <f t="shared" si="8"/>
        <v>4123231</v>
      </c>
      <c r="G64" s="20">
        <f t="shared" si="8"/>
        <v>1902213</v>
      </c>
      <c r="H64" s="18">
        <f t="shared" si="8"/>
        <v>2518194</v>
      </c>
      <c r="I64" s="18">
        <f t="shared" si="8"/>
        <v>4420407</v>
      </c>
      <c r="J64" s="20">
        <f t="shared" si="8"/>
        <v>1999424</v>
      </c>
      <c r="K64" s="18">
        <f t="shared" si="8"/>
        <v>2585095</v>
      </c>
      <c r="L64" s="18">
        <f t="shared" si="8"/>
        <v>4584519</v>
      </c>
      <c r="M64" s="20">
        <f t="shared" si="8"/>
        <v>2001756</v>
      </c>
      <c r="N64" s="18">
        <f t="shared" si="8"/>
        <v>2520936</v>
      </c>
      <c r="O64" s="25">
        <f t="shared" si="8"/>
        <v>4522692</v>
      </c>
    </row>
    <row r="65" ht="13.35" customHeight="1"/>
  </sheetData>
  <mergeCells count="2">
    <mergeCell ref="B3:C3"/>
    <mergeCell ref="B38:C38"/>
  </mergeCells>
  <hyperlinks>
    <hyperlink ref="H31" location="CONTENTS!A1" display="BACK TO CONTENTS"/>
  </hyperlinks>
  <pageMargins left="0.98425196850393704" right="0.98425196850393704" top="0.98425196850393704" bottom="0.98425196850393704" header="0.51181102362204722" footer="0.51181102362204722"/>
  <pageSetup paperSize="9" scale="91" orientation="landscape" r:id="rId1"/>
  <headerFooter alignWithMargins="0"/>
</worksheet>
</file>

<file path=xl/worksheets/sheet26.xml><?xml version="1.0" encoding="utf-8"?>
<worksheet xmlns="http://schemas.openxmlformats.org/spreadsheetml/2006/main" xmlns:r="http://schemas.openxmlformats.org/officeDocument/2006/relationships">
  <sheetPr codeName="Sheet61">
    <pageSetUpPr fitToPage="1"/>
  </sheetPr>
  <dimension ref="A1:O28"/>
  <sheetViews>
    <sheetView showGridLines="0" zoomScaleNormal="100" zoomScaleSheetLayoutView="90" workbookViewId="0"/>
  </sheetViews>
  <sheetFormatPr defaultColWidth="9.140625" defaultRowHeight="12.75"/>
  <cols>
    <col min="1" max="1" width="0.85546875" customWidth="1"/>
    <col min="2" max="2" width="7.28515625" style="2" customWidth="1"/>
    <col min="3" max="3" width="31.7109375" style="2" customWidth="1"/>
    <col min="4" max="5" width="10.7109375" style="2" customWidth="1"/>
    <col min="6" max="7" width="10.7109375" style="14" customWidth="1"/>
    <col min="8" max="11" width="10.7109375" style="6" customWidth="1"/>
    <col min="12" max="16384" width="9.140625" style="10"/>
  </cols>
  <sheetData>
    <row r="1" spans="1:15" s="8" customFormat="1" ht="15" customHeight="1">
      <c r="A1" s="455" t="s">
        <v>432</v>
      </c>
      <c r="B1" s="53"/>
      <c r="C1" s="53"/>
      <c r="D1" s="78"/>
      <c r="E1" s="78"/>
      <c r="F1" s="66"/>
      <c r="G1" s="66"/>
      <c r="H1" s="4"/>
      <c r="I1" s="4"/>
      <c r="J1" s="4"/>
      <c r="K1" s="4"/>
      <c r="L1" s="7"/>
      <c r="M1" s="408"/>
      <c r="N1" s="408"/>
      <c r="O1" s="408"/>
    </row>
    <row r="2" spans="1:15" s="8" customFormat="1" ht="15" customHeight="1">
      <c r="A2" s="90"/>
      <c r="B2" s="91" t="s">
        <v>183</v>
      </c>
      <c r="C2" s="92"/>
      <c r="D2" s="84" t="s">
        <v>467</v>
      </c>
      <c r="E2" s="67"/>
      <c r="F2" s="65" t="s">
        <v>468</v>
      </c>
      <c r="G2" s="67"/>
      <c r="H2" s="65" t="s">
        <v>469</v>
      </c>
      <c r="I2" s="67"/>
      <c r="J2" s="708" t="s">
        <v>470</v>
      </c>
      <c r="K2" s="709"/>
      <c r="L2" s="93"/>
      <c r="M2" s="409"/>
      <c r="N2" s="93"/>
      <c r="O2" s="93"/>
    </row>
    <row r="3" spans="1:15" ht="33.75">
      <c r="A3" s="80"/>
      <c r="B3" s="706" t="s">
        <v>209</v>
      </c>
      <c r="C3" s="707"/>
      <c r="D3" s="180" t="s">
        <v>18</v>
      </c>
      <c r="E3" s="181" t="s">
        <v>68</v>
      </c>
      <c r="F3" s="180" t="s">
        <v>18</v>
      </c>
      <c r="G3" s="181" t="s">
        <v>68</v>
      </c>
      <c r="H3" s="180" t="s">
        <v>18</v>
      </c>
      <c r="I3" s="181" t="s">
        <v>68</v>
      </c>
      <c r="J3" s="180" t="s">
        <v>18</v>
      </c>
      <c r="K3" s="182" t="s">
        <v>68</v>
      </c>
      <c r="L3" s="21"/>
      <c r="M3" s="343"/>
      <c r="N3" s="21"/>
      <c r="O3" s="21"/>
    </row>
    <row r="4" spans="1:15" ht="13.35" customHeight="1">
      <c r="A4" s="49"/>
      <c r="B4" s="226" t="s">
        <v>222</v>
      </c>
      <c r="C4" s="221"/>
      <c r="D4" s="222"/>
      <c r="E4" s="223"/>
      <c r="F4" s="222"/>
      <c r="G4" s="223"/>
      <c r="H4" s="222"/>
      <c r="I4" s="223"/>
      <c r="J4" s="222"/>
      <c r="K4" s="224"/>
      <c r="M4" s="343"/>
    </row>
    <row r="5" spans="1:15" ht="13.35" customHeight="1">
      <c r="A5" s="49"/>
      <c r="B5" s="116">
        <v>3601</v>
      </c>
      <c r="C5" s="16" t="s">
        <v>210</v>
      </c>
      <c r="D5" s="19">
        <v>3143972</v>
      </c>
      <c r="E5" s="139">
        <v>429710.51608500001</v>
      </c>
      <c r="F5" s="19">
        <v>3438997</v>
      </c>
      <c r="G5" s="139">
        <v>516884.497278</v>
      </c>
      <c r="H5" s="19">
        <v>3952599</v>
      </c>
      <c r="I5" s="139">
        <v>642606.57487899996</v>
      </c>
      <c r="J5" s="19">
        <v>3995404</v>
      </c>
      <c r="K5" s="24">
        <v>691926.63659100002</v>
      </c>
      <c r="M5" s="343"/>
    </row>
    <row r="6" spans="1:15" ht="13.35" customHeight="1">
      <c r="A6" s="49"/>
      <c r="B6" s="116">
        <v>3603</v>
      </c>
      <c r="C6" s="16" t="s">
        <v>206</v>
      </c>
      <c r="D6" s="19">
        <v>273394</v>
      </c>
      <c r="E6" s="139">
        <v>20687.396041</v>
      </c>
      <c r="F6" s="19">
        <v>299618</v>
      </c>
      <c r="G6" s="139">
        <v>23250.530647</v>
      </c>
      <c r="H6" s="19">
        <v>0</v>
      </c>
      <c r="I6" s="139">
        <v>0</v>
      </c>
      <c r="J6" s="19">
        <v>0</v>
      </c>
      <c r="K6" s="24">
        <v>0</v>
      </c>
      <c r="M6" s="343"/>
    </row>
    <row r="7" spans="1:15" ht="13.35" customHeight="1">
      <c r="A7" s="49"/>
      <c r="B7" s="116">
        <v>3605</v>
      </c>
      <c r="C7" s="16" t="s">
        <v>200</v>
      </c>
      <c r="D7" s="19">
        <v>2584283</v>
      </c>
      <c r="E7" s="139">
        <v>66686.187860000005</v>
      </c>
      <c r="F7" s="19">
        <v>2812245</v>
      </c>
      <c r="G7" s="139">
        <v>76632.544315000006</v>
      </c>
      <c r="H7" s="19">
        <v>2931731</v>
      </c>
      <c r="I7" s="139">
        <v>77086.772750000004</v>
      </c>
      <c r="J7" s="19">
        <v>2989593</v>
      </c>
      <c r="K7" s="24">
        <v>83375.163958999998</v>
      </c>
    </row>
    <row r="8" spans="1:15" ht="13.35" customHeight="1">
      <c r="A8" s="49"/>
      <c r="B8" s="116">
        <v>3606</v>
      </c>
      <c r="C8" s="16" t="s">
        <v>201</v>
      </c>
      <c r="D8" s="19">
        <v>264194</v>
      </c>
      <c r="E8" s="139">
        <v>26528.697759999999</v>
      </c>
      <c r="F8" s="19">
        <v>267092</v>
      </c>
      <c r="G8" s="139">
        <v>26913.322495</v>
      </c>
      <c r="H8" s="19">
        <v>259481</v>
      </c>
      <c r="I8" s="139">
        <v>25325.023215000001</v>
      </c>
      <c r="J8" s="19">
        <v>259524</v>
      </c>
      <c r="K8" s="24">
        <v>26741.441176</v>
      </c>
    </row>
    <row r="9" spans="1:15" ht="13.35" customHeight="1">
      <c r="A9" s="49"/>
      <c r="B9" s="116">
        <v>3607</v>
      </c>
      <c r="C9" s="16" t="s">
        <v>202</v>
      </c>
      <c r="D9" s="19">
        <v>1137771</v>
      </c>
      <c r="E9" s="139">
        <v>20430.115809999999</v>
      </c>
      <c r="F9" s="19">
        <v>1302373</v>
      </c>
      <c r="G9" s="139">
        <v>24447.704583999999</v>
      </c>
      <c r="H9" s="19">
        <v>0</v>
      </c>
      <c r="I9" s="139">
        <v>0</v>
      </c>
      <c r="J9" s="19">
        <v>0</v>
      </c>
      <c r="K9" s="24">
        <v>0</v>
      </c>
    </row>
    <row r="10" spans="1:15" ht="13.35" customHeight="1">
      <c r="A10" s="49"/>
      <c r="B10" s="116">
        <v>3610</v>
      </c>
      <c r="C10" s="16" t="s">
        <v>203</v>
      </c>
      <c r="D10" s="19">
        <v>302906</v>
      </c>
      <c r="E10" s="139">
        <v>9113.3957190000001</v>
      </c>
      <c r="F10" s="19">
        <v>313263</v>
      </c>
      <c r="G10" s="139">
        <v>9840.6501869999993</v>
      </c>
      <c r="H10" s="19">
        <v>0</v>
      </c>
      <c r="I10" s="139">
        <v>0</v>
      </c>
      <c r="J10" s="19">
        <v>0</v>
      </c>
      <c r="K10" s="24">
        <v>0</v>
      </c>
    </row>
    <row r="11" spans="1:15" s="1" customFormat="1" ht="13.35" customHeight="1">
      <c r="A11" s="26"/>
      <c r="B11" s="116">
        <v>3615</v>
      </c>
      <c r="C11" s="16" t="s">
        <v>207</v>
      </c>
      <c r="D11" s="19">
        <v>145357</v>
      </c>
      <c r="E11" s="139">
        <v>34925.971403000003</v>
      </c>
      <c r="F11" s="19">
        <v>141494</v>
      </c>
      <c r="G11" s="139">
        <v>37636.485687</v>
      </c>
      <c r="H11" s="19">
        <v>128735</v>
      </c>
      <c r="I11" s="139">
        <v>37850.922426999998</v>
      </c>
      <c r="J11" s="19">
        <v>116929</v>
      </c>
      <c r="K11" s="24">
        <v>38128.653874000003</v>
      </c>
    </row>
    <row r="12" spans="1:15" ht="13.35" customHeight="1">
      <c r="A12" s="49"/>
      <c r="B12" s="116">
        <v>3616</v>
      </c>
      <c r="C12" s="16" t="s">
        <v>208</v>
      </c>
      <c r="D12" s="19">
        <v>51823</v>
      </c>
      <c r="E12" s="139">
        <v>4828.4039990000001</v>
      </c>
      <c r="F12" s="19">
        <v>58186</v>
      </c>
      <c r="G12" s="139">
        <v>5818.7697260000004</v>
      </c>
      <c r="H12" s="19">
        <v>51966</v>
      </c>
      <c r="I12" s="139">
        <v>5746.8139789999996</v>
      </c>
      <c r="J12" s="19">
        <v>51065</v>
      </c>
      <c r="K12" s="24">
        <v>5470.0125539999999</v>
      </c>
    </row>
    <row r="13" spans="1:15" ht="13.35" customHeight="1">
      <c r="A13" s="334"/>
      <c r="B13" s="570">
        <v>3601</v>
      </c>
      <c r="C13" s="335" t="s">
        <v>373</v>
      </c>
      <c r="D13" s="574"/>
      <c r="E13" s="337">
        <f t="shared" ref="E13:K13" si="0">E5+E6+E9+E10</f>
        <v>479941.42365500005</v>
      </c>
      <c r="F13" s="574"/>
      <c r="G13" s="337">
        <f t="shared" si="0"/>
        <v>574423.38269600004</v>
      </c>
      <c r="H13" s="336">
        <f t="shared" si="0"/>
        <v>3952599</v>
      </c>
      <c r="I13" s="337">
        <f t="shared" si="0"/>
        <v>642606.57487899996</v>
      </c>
      <c r="J13" s="336">
        <f t="shared" si="0"/>
        <v>3995404</v>
      </c>
      <c r="K13" s="338">
        <f t="shared" si="0"/>
        <v>691926.63659100002</v>
      </c>
    </row>
    <row r="14" spans="1:15" s="1" customFormat="1" ht="13.35" customHeight="1">
      <c r="A14" s="26"/>
      <c r="B14" s="227" t="s">
        <v>223</v>
      </c>
      <c r="C14" s="16"/>
      <c r="D14" s="19"/>
      <c r="E14" s="139"/>
      <c r="F14" s="19"/>
      <c r="G14" s="139"/>
      <c r="H14" s="19"/>
      <c r="I14" s="139"/>
      <c r="J14" s="19"/>
      <c r="K14" s="24"/>
    </row>
    <row r="15" spans="1:15" s="1" customFormat="1" ht="13.35" customHeight="1">
      <c r="A15" s="26"/>
      <c r="B15" s="116">
        <v>4201</v>
      </c>
      <c r="C15" s="16" t="s">
        <v>224</v>
      </c>
      <c r="D15" s="19">
        <v>216351</v>
      </c>
      <c r="E15" s="139">
        <v>11639.508409</v>
      </c>
      <c r="F15" s="19">
        <v>285688</v>
      </c>
      <c r="G15" s="139">
        <v>19352.644356000001</v>
      </c>
      <c r="H15" s="19">
        <v>243923</v>
      </c>
      <c r="I15" s="139">
        <v>14612.959178999999</v>
      </c>
      <c r="J15" s="19">
        <v>190318</v>
      </c>
      <c r="K15" s="24">
        <v>10535.418073999999</v>
      </c>
    </row>
    <row r="16" spans="1:15" s="1" customFormat="1" ht="13.35" customHeight="1">
      <c r="A16" s="26"/>
      <c r="B16" s="116">
        <v>4210</v>
      </c>
      <c r="C16" s="16" t="s">
        <v>204</v>
      </c>
      <c r="D16" s="19">
        <v>65900</v>
      </c>
      <c r="E16" s="139">
        <v>2246.4196999999999</v>
      </c>
      <c r="F16" s="19">
        <v>69693</v>
      </c>
      <c r="G16" s="139">
        <v>2537.8551040000002</v>
      </c>
      <c r="H16" s="19">
        <v>82795</v>
      </c>
      <c r="I16" s="139">
        <v>3173.209331</v>
      </c>
      <c r="J16" s="19">
        <v>89184</v>
      </c>
      <c r="K16" s="24">
        <v>3525.9334480000002</v>
      </c>
    </row>
    <row r="17" spans="1:11" s="1" customFormat="1" ht="13.35" customHeight="1">
      <c r="A17" s="26"/>
      <c r="B17" s="116">
        <v>4211</v>
      </c>
      <c r="C17" s="16" t="s">
        <v>205</v>
      </c>
      <c r="D17" s="19">
        <v>43194</v>
      </c>
      <c r="E17" s="139">
        <v>-1284.4446820000001</v>
      </c>
      <c r="F17" s="19">
        <v>52921</v>
      </c>
      <c r="G17" s="139">
        <v>-2020.2526929999999</v>
      </c>
      <c r="H17" s="19">
        <v>51513</v>
      </c>
      <c r="I17" s="139">
        <v>-1403.778534</v>
      </c>
      <c r="J17" s="19">
        <v>45904</v>
      </c>
      <c r="K17" s="24">
        <v>-1065.855949</v>
      </c>
    </row>
    <row r="18" spans="1:11" s="51" customFormat="1" ht="13.35" customHeight="1">
      <c r="A18" s="26"/>
      <c r="B18" s="116">
        <v>4218</v>
      </c>
      <c r="C18" s="16" t="s">
        <v>225</v>
      </c>
      <c r="D18" s="19">
        <v>24572</v>
      </c>
      <c r="E18" s="139">
        <v>948.96248700000001</v>
      </c>
      <c r="F18" s="19">
        <v>24455</v>
      </c>
      <c r="G18" s="139">
        <v>913.49995100000001</v>
      </c>
      <c r="H18" s="19">
        <v>15306</v>
      </c>
      <c r="I18" s="139">
        <v>431.39138700000001</v>
      </c>
      <c r="J18" s="19">
        <v>12518</v>
      </c>
      <c r="K18" s="24">
        <v>373.29530199999999</v>
      </c>
    </row>
    <row r="19" spans="1:11" s="51" customFormat="1" ht="13.35" customHeight="1">
      <c r="A19" s="26"/>
      <c r="B19" s="116">
        <v>4250</v>
      </c>
      <c r="C19" s="16" t="s">
        <v>213</v>
      </c>
      <c r="D19" s="19">
        <v>90281</v>
      </c>
      <c r="E19" s="139">
        <v>11614.999395999999</v>
      </c>
      <c r="F19" s="19">
        <v>59493</v>
      </c>
      <c r="G19" s="139">
        <v>7917.3532349999996</v>
      </c>
      <c r="H19" s="19">
        <v>44571</v>
      </c>
      <c r="I19" s="139">
        <v>5680.4674199999999</v>
      </c>
      <c r="J19" s="19">
        <v>54050</v>
      </c>
      <c r="K19" s="24">
        <v>5714.6849650000004</v>
      </c>
    </row>
    <row r="20" spans="1:11" s="51" customFormat="1" ht="13.35" customHeight="1">
      <c r="A20" s="26"/>
      <c r="B20" s="116">
        <v>4252</v>
      </c>
      <c r="C20" s="16" t="s">
        <v>214</v>
      </c>
      <c r="D20" s="19">
        <v>3800</v>
      </c>
      <c r="E20" s="139">
        <v>348.79718100000002</v>
      </c>
      <c r="F20" s="19">
        <v>2878</v>
      </c>
      <c r="G20" s="139">
        <v>296.76692300000002</v>
      </c>
      <c r="H20" s="19">
        <v>1824</v>
      </c>
      <c r="I20" s="139">
        <v>142.686274</v>
      </c>
      <c r="J20" s="19">
        <v>2024</v>
      </c>
      <c r="K20" s="24">
        <v>148.48318499999999</v>
      </c>
    </row>
    <row r="21" spans="1:11" ht="13.35" customHeight="1">
      <c r="A21" s="88"/>
      <c r="B21" s="75" t="s">
        <v>9</v>
      </c>
      <c r="C21" s="89"/>
      <c r="D21" s="309"/>
      <c r="E21" s="310">
        <f>SUM(E5:E12)+SUM(E15:E20)</f>
        <v>638424.92716800002</v>
      </c>
      <c r="F21" s="309"/>
      <c r="G21" s="310">
        <f>SUM(G5:G12)+SUM(G15:G20)</f>
        <v>750422.37179499993</v>
      </c>
      <c r="H21" s="309"/>
      <c r="I21" s="310">
        <f>SUM(I5:I12)+SUM(I15:I20)</f>
        <v>811253.04230700003</v>
      </c>
      <c r="J21" s="309"/>
      <c r="K21" s="25">
        <f>SUM(K5:K12)+SUM(K15:K20)</f>
        <v>864873.86717900005</v>
      </c>
    </row>
    <row r="22" spans="1:11" ht="13.35" customHeight="1">
      <c r="B22" s="29" t="s">
        <v>374</v>
      </c>
      <c r="C22"/>
      <c r="D22"/>
      <c r="E22"/>
      <c r="F22"/>
      <c r="G22"/>
      <c r="H22" s="1"/>
      <c r="I22"/>
      <c r="J22"/>
      <c r="K22"/>
    </row>
    <row r="23" spans="1:11" ht="13.35" customHeight="1">
      <c r="B23"/>
      <c r="C23"/>
      <c r="D23"/>
      <c r="E23"/>
      <c r="F23"/>
      <c r="G23"/>
      <c r="H23" s="1"/>
      <c r="I23"/>
      <c r="J23"/>
      <c r="K23"/>
    </row>
    <row r="24" spans="1:11" ht="13.35" customHeight="1">
      <c r="B24"/>
      <c r="D24"/>
      <c r="E24"/>
      <c r="F24" s="560" t="s">
        <v>506</v>
      </c>
      <c r="G24"/>
      <c r="H24" s="1"/>
      <c r="I24"/>
      <c r="J24"/>
      <c r="K24"/>
    </row>
    <row r="25" spans="1:11" ht="13.35" customHeight="1">
      <c r="B25"/>
      <c r="C25"/>
      <c r="D25"/>
      <c r="E25"/>
      <c r="F25"/>
      <c r="G25"/>
      <c r="K25" s="450">
        <f>K13</f>
        <v>691926.63659100002</v>
      </c>
    </row>
    <row r="26" spans="1:11" ht="13.35" customHeight="1">
      <c r="B26"/>
      <c r="C26"/>
      <c r="D26"/>
      <c r="E26"/>
      <c r="F26"/>
      <c r="G26"/>
      <c r="K26" s="450">
        <v>885241.04371599993</v>
      </c>
    </row>
    <row r="27" spans="1:11" customFormat="1" ht="13.35" customHeight="1">
      <c r="B27" s="2"/>
      <c r="C27" s="2"/>
      <c r="D27" s="2"/>
      <c r="E27" s="2"/>
      <c r="F27" s="14"/>
      <c r="G27" s="14"/>
      <c r="H27" s="6"/>
      <c r="I27" s="6"/>
      <c r="J27" s="6"/>
      <c r="K27" s="251">
        <f>K25/K26</f>
        <v>0.78162511951149616</v>
      </c>
    </row>
    <row r="28" spans="1:11" customFormat="1" ht="13.35" customHeight="1">
      <c r="B28" s="2"/>
      <c r="C28" s="2"/>
      <c r="D28" s="2"/>
      <c r="E28" s="2"/>
      <c r="F28" s="14"/>
      <c r="G28" s="14"/>
      <c r="H28" s="6"/>
      <c r="I28" s="6"/>
      <c r="J28" s="6"/>
      <c r="K28" s="6"/>
    </row>
  </sheetData>
  <mergeCells count="2">
    <mergeCell ref="B3:C3"/>
    <mergeCell ref="J2:K2"/>
  </mergeCells>
  <hyperlinks>
    <hyperlink ref="F24"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sheetPr codeName="Sheet27" enableFormatConditionsCalculation="0">
    <pageSetUpPr fitToPage="1"/>
  </sheetPr>
  <dimension ref="A1:O5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36.7109375" style="2" customWidth="1"/>
    <col min="4" max="4" width="11.140625" style="2" bestFit="1" customWidth="1"/>
    <col min="5" max="5" width="9.7109375" style="2" hidden="1" customWidth="1"/>
    <col min="6" max="6" width="9.7109375" style="2" customWidth="1"/>
    <col min="7" max="7" width="11.7109375" style="14" bestFit="1" customWidth="1"/>
    <col min="8" max="8" width="9.7109375" style="14" hidden="1" customWidth="1"/>
    <col min="9" max="9" width="9.7109375" style="6" customWidth="1"/>
    <col min="10" max="10" width="11.42578125" style="6" bestFit="1" customWidth="1"/>
    <col min="11" max="11" width="9.7109375" style="6" hidden="1" customWidth="1"/>
    <col min="12" max="12" width="9.7109375" style="6" customWidth="1"/>
    <col min="13" max="13" width="11.7109375" style="6" bestFit="1" customWidth="1"/>
    <col min="14" max="14" width="9.7109375" style="6" hidden="1" customWidth="1"/>
    <col min="15" max="15" width="9.7109375" style="6" customWidth="1"/>
    <col min="16" max="16384" width="9.140625" style="10"/>
  </cols>
  <sheetData>
    <row r="1" spans="1:15" s="8" customFormat="1" ht="15" customHeight="1">
      <c r="A1" s="455" t="s">
        <v>447</v>
      </c>
      <c r="B1" s="455"/>
      <c r="C1" s="455"/>
      <c r="D1" s="564"/>
      <c r="E1" s="78"/>
      <c r="F1" s="78"/>
      <c r="G1" s="66"/>
      <c r="H1" s="66"/>
      <c r="I1" s="5"/>
      <c r="J1" s="4"/>
      <c r="K1" s="4"/>
      <c r="L1" s="4"/>
      <c r="M1" s="4"/>
      <c r="N1" s="4"/>
      <c r="O1" s="4"/>
    </row>
    <row r="2" spans="1:15" s="8" customFormat="1" ht="15" customHeight="1">
      <c r="A2" s="90"/>
      <c r="B2" s="91" t="s">
        <v>183</v>
      </c>
      <c r="C2" s="92"/>
      <c r="D2" s="84" t="s">
        <v>463</v>
      </c>
      <c r="E2" s="67"/>
      <c r="F2" s="67"/>
      <c r="G2" s="65" t="s">
        <v>464</v>
      </c>
      <c r="H2" s="67"/>
      <c r="I2" s="67"/>
      <c r="J2" s="65" t="s">
        <v>465</v>
      </c>
      <c r="K2" s="67"/>
      <c r="L2" s="67"/>
      <c r="M2" s="65" t="s">
        <v>466</v>
      </c>
      <c r="N2" s="67"/>
      <c r="O2" s="85"/>
    </row>
    <row r="3" spans="1:15" ht="33.75">
      <c r="A3" s="80"/>
      <c r="B3" s="703" t="s">
        <v>152</v>
      </c>
      <c r="C3" s="702"/>
      <c r="D3" s="32" t="s">
        <v>18</v>
      </c>
      <c r="E3" s="33" t="s">
        <v>68</v>
      </c>
      <c r="F3" s="33" t="s">
        <v>69</v>
      </c>
      <c r="G3" s="32" t="s">
        <v>18</v>
      </c>
      <c r="H3" s="33" t="s">
        <v>68</v>
      </c>
      <c r="I3" s="33" t="s">
        <v>69</v>
      </c>
      <c r="J3" s="32" t="s">
        <v>18</v>
      </c>
      <c r="K3" s="33" t="s">
        <v>68</v>
      </c>
      <c r="L3" s="33" t="s">
        <v>69</v>
      </c>
      <c r="M3" s="32" t="s">
        <v>18</v>
      </c>
      <c r="N3" s="33" t="s">
        <v>68</v>
      </c>
      <c r="O3" s="86" t="s">
        <v>69</v>
      </c>
    </row>
    <row r="4" spans="1:15" ht="13.35" customHeight="1">
      <c r="A4" s="49"/>
      <c r="B4" s="16" t="s">
        <v>117</v>
      </c>
      <c r="C4" s="16"/>
      <c r="D4" s="19">
        <v>758041.50163464597</v>
      </c>
      <c r="E4" s="15">
        <v>0</v>
      </c>
      <c r="F4" s="15">
        <v>30169.222438286422</v>
      </c>
      <c r="G4" s="19">
        <v>812676.26289099501</v>
      </c>
      <c r="H4" s="15">
        <v>0</v>
      </c>
      <c r="I4" s="15">
        <v>34408.019527319659</v>
      </c>
      <c r="J4" s="19">
        <v>814262</v>
      </c>
      <c r="K4" s="15">
        <v>0</v>
      </c>
      <c r="L4" s="15">
        <v>33919.731914000004</v>
      </c>
      <c r="M4" s="19">
        <v>831481</v>
      </c>
      <c r="N4" s="15">
        <v>0</v>
      </c>
      <c r="O4" s="24">
        <v>36754.743756999997</v>
      </c>
    </row>
    <row r="5" spans="1:15" ht="13.35" customHeight="1">
      <c r="A5" s="49"/>
      <c r="B5" s="16" t="s">
        <v>118</v>
      </c>
      <c r="C5" s="16"/>
      <c r="D5" s="19">
        <v>71269.381199073468</v>
      </c>
      <c r="E5" s="15">
        <v>0</v>
      </c>
      <c r="F5" s="15">
        <v>3504.8303688570822</v>
      </c>
      <c r="G5" s="19">
        <v>76406.020312238819</v>
      </c>
      <c r="H5" s="15">
        <v>0</v>
      </c>
      <c r="I5" s="15">
        <v>3997.2615143881403</v>
      </c>
      <c r="J5" s="19">
        <v>76035</v>
      </c>
      <c r="K5" s="15">
        <v>0</v>
      </c>
      <c r="L5" s="15">
        <v>3791.0921939999998</v>
      </c>
      <c r="M5" s="19">
        <v>78174</v>
      </c>
      <c r="N5" s="15">
        <v>0</v>
      </c>
      <c r="O5" s="24">
        <v>4269.8860530000002</v>
      </c>
    </row>
    <row r="6" spans="1:15" ht="13.35" customHeight="1">
      <c r="A6" s="49"/>
      <c r="B6" s="16" t="s">
        <v>139</v>
      </c>
      <c r="C6" s="16"/>
      <c r="D6" s="19">
        <v>11555.496798145883</v>
      </c>
      <c r="E6" s="15">
        <v>0</v>
      </c>
      <c r="F6" s="15">
        <v>452.38346543358875</v>
      </c>
      <c r="G6" s="19">
        <v>12388.342766874242</v>
      </c>
      <c r="H6" s="15">
        <v>0</v>
      </c>
      <c r="I6" s="15">
        <v>515.94366226428895</v>
      </c>
      <c r="J6" s="19">
        <v>10868</v>
      </c>
      <c r="K6" s="15">
        <v>0</v>
      </c>
      <c r="L6" s="15">
        <v>463.47747800000002</v>
      </c>
      <c r="M6" s="19">
        <v>12675</v>
      </c>
      <c r="N6" s="15">
        <v>0</v>
      </c>
      <c r="O6" s="24">
        <v>551.13247899999999</v>
      </c>
    </row>
    <row r="7" spans="1:15" ht="13.35" customHeight="1">
      <c r="A7" s="49"/>
      <c r="B7" s="16" t="s">
        <v>119</v>
      </c>
      <c r="C7" s="16"/>
      <c r="D7" s="19">
        <v>21698.807044786601</v>
      </c>
      <c r="E7" s="15">
        <v>0</v>
      </c>
      <c r="F7" s="15">
        <v>511.13003337337909</v>
      </c>
      <c r="G7" s="19">
        <v>23262.717648471309</v>
      </c>
      <c r="H7" s="15">
        <v>0</v>
      </c>
      <c r="I7" s="15">
        <v>582.94416454671136</v>
      </c>
      <c r="J7" s="19">
        <v>22699</v>
      </c>
      <c r="K7" s="15">
        <v>0</v>
      </c>
      <c r="L7" s="15">
        <v>574.40139099999999</v>
      </c>
      <c r="M7" s="19">
        <v>23801</v>
      </c>
      <c r="N7" s="15">
        <v>0</v>
      </c>
      <c r="O7" s="24">
        <v>622.70260499999995</v>
      </c>
    </row>
    <row r="8" spans="1:15" ht="13.35" customHeight="1">
      <c r="A8" s="49"/>
      <c r="B8" s="16" t="s">
        <v>140</v>
      </c>
      <c r="C8" s="16"/>
      <c r="D8" s="19">
        <v>30362.466695499053</v>
      </c>
      <c r="E8" s="15">
        <v>0</v>
      </c>
      <c r="F8" s="15">
        <v>1417.6885573933318</v>
      </c>
      <c r="G8" s="19">
        <v>32550.798225481638</v>
      </c>
      <c r="H8" s="15">
        <v>0</v>
      </c>
      <c r="I8" s="15">
        <v>1616.8748023330902</v>
      </c>
      <c r="J8" s="19">
        <v>30972</v>
      </c>
      <c r="K8" s="15">
        <v>0</v>
      </c>
      <c r="L8" s="15">
        <v>1511.3242130000001</v>
      </c>
      <c r="M8" s="19">
        <v>33304</v>
      </c>
      <c r="N8" s="15">
        <v>0</v>
      </c>
      <c r="O8" s="24">
        <v>1727.1502359999999</v>
      </c>
    </row>
    <row r="9" spans="1:15" ht="13.35" customHeight="1">
      <c r="A9" s="49"/>
      <c r="B9" s="16" t="s">
        <v>120</v>
      </c>
      <c r="C9" s="16"/>
      <c r="D9" s="19">
        <v>13370.644263637674</v>
      </c>
      <c r="E9" s="15">
        <v>0</v>
      </c>
      <c r="F9" s="15">
        <v>426.05887262035679</v>
      </c>
      <c r="G9" s="19">
        <v>14334.31439991934</v>
      </c>
      <c r="H9" s="15">
        <v>0</v>
      </c>
      <c r="I9" s="15">
        <v>485.92044554336536</v>
      </c>
      <c r="J9" s="19">
        <v>14733</v>
      </c>
      <c r="K9" s="15">
        <v>0</v>
      </c>
      <c r="L9" s="15">
        <v>487.72411199999999</v>
      </c>
      <c r="M9" s="19">
        <v>14666</v>
      </c>
      <c r="N9" s="15">
        <v>0</v>
      </c>
      <c r="O9" s="24">
        <v>519.06159400000001</v>
      </c>
    </row>
    <row r="10" spans="1:15" s="51" customFormat="1" ht="13.35" customHeight="1">
      <c r="A10" s="49"/>
      <c r="B10" s="16" t="s">
        <v>141</v>
      </c>
      <c r="C10" s="16"/>
      <c r="D10" s="19">
        <v>7478.4804919282587</v>
      </c>
      <c r="E10" s="15">
        <v>0</v>
      </c>
      <c r="F10" s="15">
        <v>441.32443815312394</v>
      </c>
      <c r="G10" s="19">
        <v>8017.4813188693815</v>
      </c>
      <c r="H10" s="15">
        <v>0</v>
      </c>
      <c r="I10" s="15">
        <v>503.33083382968891</v>
      </c>
      <c r="J10" s="19">
        <v>8752</v>
      </c>
      <c r="K10" s="15">
        <v>0</v>
      </c>
      <c r="L10" s="15">
        <v>562.49363900000003</v>
      </c>
      <c r="M10" s="19">
        <v>8203</v>
      </c>
      <c r="N10" s="15">
        <v>0</v>
      </c>
      <c r="O10" s="24">
        <v>537.65941999999995</v>
      </c>
    </row>
    <row r="11" spans="1:15" s="1" customFormat="1" ht="13.35" customHeight="1">
      <c r="A11" s="26"/>
      <c r="B11" s="16" t="s">
        <v>6</v>
      </c>
      <c r="C11" s="16"/>
      <c r="D11" s="19">
        <v>111611.05641153544</v>
      </c>
      <c r="E11" s="15">
        <v>0</v>
      </c>
      <c r="F11" s="15">
        <v>4794.6284820518531</v>
      </c>
      <c r="G11" s="19">
        <v>119655.26429126725</v>
      </c>
      <c r="H11" s="15">
        <v>0</v>
      </c>
      <c r="I11" s="15">
        <v>5468.2771746653434</v>
      </c>
      <c r="J11" s="19">
        <v>114383</v>
      </c>
      <c r="K11" s="15">
        <v>0</v>
      </c>
      <c r="L11" s="15">
        <v>5505.3453980000004</v>
      </c>
      <c r="M11" s="19">
        <v>122424</v>
      </c>
      <c r="N11" s="15">
        <v>0</v>
      </c>
      <c r="O11" s="24">
        <v>5841.2291409999998</v>
      </c>
    </row>
    <row r="12" spans="1:15" s="1" customFormat="1" ht="13.35" customHeight="1">
      <c r="A12" s="26"/>
      <c r="B12" s="16" t="s">
        <v>121</v>
      </c>
      <c r="C12" s="16"/>
      <c r="D12" s="19">
        <v>126935.42293461505</v>
      </c>
      <c r="E12" s="15">
        <v>0</v>
      </c>
      <c r="F12" s="15">
        <v>3835.1339465066731</v>
      </c>
      <c r="G12" s="19">
        <v>136084.11269902971</v>
      </c>
      <c r="H12" s="15">
        <v>0</v>
      </c>
      <c r="I12" s="15">
        <v>4373.9729782967261</v>
      </c>
      <c r="J12" s="19">
        <v>135546</v>
      </c>
      <c r="K12" s="15">
        <v>0</v>
      </c>
      <c r="L12" s="15">
        <v>4334.4897270000001</v>
      </c>
      <c r="M12" s="19">
        <v>139233</v>
      </c>
      <c r="N12" s="15">
        <v>0</v>
      </c>
      <c r="O12" s="24">
        <v>4672.2903040000001</v>
      </c>
    </row>
    <row r="13" spans="1:15" s="1" customFormat="1" ht="13.35" customHeight="1">
      <c r="A13" s="26"/>
      <c r="B13" s="27" t="s">
        <v>142</v>
      </c>
      <c r="C13" s="27"/>
      <c r="D13" s="19">
        <v>30690.670154854673</v>
      </c>
      <c r="E13" s="15">
        <v>0</v>
      </c>
      <c r="F13" s="15">
        <v>1681.4033039822741</v>
      </c>
      <c r="G13" s="19">
        <v>32902.656481582206</v>
      </c>
      <c r="H13" s="15">
        <v>0</v>
      </c>
      <c r="I13" s="15">
        <v>1917.641657323665</v>
      </c>
      <c r="J13" s="19">
        <v>33262</v>
      </c>
      <c r="K13" s="15">
        <v>0</v>
      </c>
      <c r="L13" s="15">
        <v>1788.3286559999999</v>
      </c>
      <c r="M13" s="19">
        <v>33664</v>
      </c>
      <c r="N13" s="15">
        <v>0</v>
      </c>
      <c r="O13" s="24">
        <v>2048.430241</v>
      </c>
    </row>
    <row r="14" spans="1:15" s="1" customFormat="1" ht="13.35" customHeight="1">
      <c r="A14" s="26"/>
      <c r="B14" s="27" t="s">
        <v>143</v>
      </c>
      <c r="C14" s="27"/>
      <c r="D14" s="19">
        <v>1111430.0181144327</v>
      </c>
      <c r="E14" s="15">
        <v>0</v>
      </c>
      <c r="F14" s="15">
        <v>48550.270286460516</v>
      </c>
      <c r="G14" s="19">
        <v>1191534.7532270604</v>
      </c>
      <c r="H14" s="15">
        <v>0</v>
      </c>
      <c r="I14" s="15">
        <v>55371.617597714408</v>
      </c>
      <c r="J14" s="19">
        <v>1199071</v>
      </c>
      <c r="K14" s="15">
        <v>0</v>
      </c>
      <c r="L14" s="15">
        <v>53827.035215999997</v>
      </c>
      <c r="M14" s="19">
        <v>1219106</v>
      </c>
      <c r="N14" s="15">
        <v>0</v>
      </c>
      <c r="O14" s="24">
        <v>59148.118496000003</v>
      </c>
    </row>
    <row r="15" spans="1:15" customFormat="1" ht="13.35" customHeight="1">
      <c r="A15" s="26"/>
      <c r="B15" s="27" t="s">
        <v>122</v>
      </c>
      <c r="C15" s="27"/>
      <c r="D15" s="19">
        <v>24436.570901578089</v>
      </c>
      <c r="E15" s="15">
        <v>0</v>
      </c>
      <c r="F15" s="15">
        <v>1100.8370730261831</v>
      </c>
      <c r="G15" s="19">
        <v>26197.8019347769</v>
      </c>
      <c r="H15" s="15">
        <v>0</v>
      </c>
      <c r="I15" s="15">
        <v>1255.505460326797</v>
      </c>
      <c r="J15" s="19">
        <v>24819</v>
      </c>
      <c r="K15" s="15">
        <v>0</v>
      </c>
      <c r="L15" s="15">
        <v>1191.609291</v>
      </c>
      <c r="M15" s="19">
        <v>26804</v>
      </c>
      <c r="N15" s="15">
        <v>0</v>
      </c>
      <c r="O15" s="24">
        <v>1341.134483</v>
      </c>
    </row>
    <row r="16" spans="1:15" customFormat="1" ht="13.35" customHeight="1">
      <c r="A16" s="26"/>
      <c r="B16" s="27" t="s">
        <v>144</v>
      </c>
      <c r="C16" s="27"/>
      <c r="D16" s="19">
        <v>1290.9336067987826</v>
      </c>
      <c r="E16" s="15">
        <v>0</v>
      </c>
      <c r="F16" s="15">
        <v>28.34793531003378</v>
      </c>
      <c r="G16" s="19">
        <v>1383.9758073289095</v>
      </c>
      <c r="H16" s="15">
        <v>0</v>
      </c>
      <c r="I16" s="15">
        <v>32.330840269486181</v>
      </c>
      <c r="J16" s="19">
        <v>848</v>
      </c>
      <c r="K16" s="15">
        <v>0</v>
      </c>
      <c r="L16" s="15">
        <v>29.263783</v>
      </c>
      <c r="M16" s="19">
        <v>1416</v>
      </c>
      <c r="N16" s="15">
        <v>0</v>
      </c>
      <c r="O16" s="24">
        <v>34.535894999999996</v>
      </c>
    </row>
    <row r="17" spans="1:15" customFormat="1" ht="13.35" customHeight="1">
      <c r="A17" s="26"/>
      <c r="B17" s="27" t="s">
        <v>123</v>
      </c>
      <c r="C17" s="27"/>
      <c r="D17" s="19">
        <v>625349.75469344365</v>
      </c>
      <c r="E17" s="15">
        <v>0</v>
      </c>
      <c r="F17" s="15">
        <v>14204.23544399461</v>
      </c>
      <c r="G17" s="19">
        <v>670420.94733357918</v>
      </c>
      <c r="H17" s="15">
        <v>0</v>
      </c>
      <c r="I17" s="15">
        <v>16199.940569478344</v>
      </c>
      <c r="J17" s="19">
        <v>604151</v>
      </c>
      <c r="K17" s="15">
        <v>0</v>
      </c>
      <c r="L17" s="15">
        <v>13981.985671</v>
      </c>
      <c r="M17" s="19">
        <v>685934</v>
      </c>
      <c r="N17" s="15">
        <v>0</v>
      </c>
      <c r="O17" s="24">
        <v>17304.822326000001</v>
      </c>
    </row>
    <row r="18" spans="1:15" customFormat="1" ht="13.35" customHeight="1">
      <c r="A18" s="26"/>
      <c r="B18" s="27" t="s">
        <v>124</v>
      </c>
      <c r="C18" s="27"/>
      <c r="D18" s="19">
        <v>38042.427644420626</v>
      </c>
      <c r="E18" s="15">
        <v>0</v>
      </c>
      <c r="F18" s="15">
        <v>1887.0707699446566</v>
      </c>
      <c r="G18" s="19">
        <v>40784.281418234983</v>
      </c>
      <c r="H18" s="15">
        <v>0</v>
      </c>
      <c r="I18" s="15">
        <v>2152.2055477071108</v>
      </c>
      <c r="J18" s="19">
        <v>37892</v>
      </c>
      <c r="K18" s="15">
        <v>0</v>
      </c>
      <c r="L18" s="15">
        <v>2052.1480670000001</v>
      </c>
      <c r="M18" s="19">
        <v>41728</v>
      </c>
      <c r="N18" s="15">
        <v>0</v>
      </c>
      <c r="O18" s="24">
        <v>2298.9920520000001</v>
      </c>
    </row>
    <row r="19" spans="1:15" customFormat="1" ht="13.35" customHeight="1">
      <c r="A19" s="26"/>
      <c r="B19" s="27" t="s">
        <v>145</v>
      </c>
      <c r="C19" s="27"/>
      <c r="D19" s="19">
        <v>52885.429093778665</v>
      </c>
      <c r="E19" s="15">
        <v>0</v>
      </c>
      <c r="F19" s="15">
        <v>2424.9460083406561</v>
      </c>
      <c r="G19" s="19">
        <v>56697.071050383267</v>
      </c>
      <c r="H19" s="15">
        <v>0</v>
      </c>
      <c r="I19" s="15">
        <v>2765.6526374970213</v>
      </c>
      <c r="J19" s="19">
        <v>53364</v>
      </c>
      <c r="K19" s="15">
        <v>0</v>
      </c>
      <c r="L19" s="15">
        <v>2614.748924</v>
      </c>
      <c r="M19" s="19">
        <v>58009</v>
      </c>
      <c r="N19" s="15">
        <v>0</v>
      </c>
      <c r="O19" s="24">
        <v>2954.2779679999999</v>
      </c>
    </row>
    <row r="20" spans="1:15" customFormat="1" ht="13.35" customHeight="1">
      <c r="A20" s="26"/>
      <c r="B20" s="27" t="s">
        <v>365</v>
      </c>
      <c r="C20" s="27"/>
      <c r="D20" s="19">
        <v>45914.752287575626</v>
      </c>
      <c r="E20" s="15">
        <v>0</v>
      </c>
      <c r="F20" s="15">
        <v>1879.2757617345462</v>
      </c>
      <c r="G20" s="19">
        <v>49223.992644425045</v>
      </c>
      <c r="H20" s="15">
        <v>0</v>
      </c>
      <c r="I20" s="15">
        <v>2143.3153353306484</v>
      </c>
      <c r="J20" s="19">
        <v>43981</v>
      </c>
      <c r="K20" s="15">
        <v>0</v>
      </c>
      <c r="L20" s="15">
        <v>2060.2350759999999</v>
      </c>
      <c r="M20" s="19">
        <v>50363</v>
      </c>
      <c r="N20" s="15">
        <v>0</v>
      </c>
      <c r="O20" s="24">
        <v>2289.4955020000002</v>
      </c>
    </row>
    <row r="21" spans="1:15" customFormat="1" ht="13.35" customHeight="1">
      <c r="A21" s="26"/>
      <c r="B21" s="27" t="s">
        <v>125</v>
      </c>
      <c r="C21" s="27"/>
      <c r="D21" s="19">
        <v>121502.74400600352</v>
      </c>
      <c r="E21" s="15">
        <v>0</v>
      </c>
      <c r="F21" s="15">
        <v>7066.125967104319</v>
      </c>
      <c r="G21" s="19">
        <v>130259.88117652055</v>
      </c>
      <c r="H21" s="15">
        <v>0</v>
      </c>
      <c r="I21" s="15">
        <v>8058.9216628294207</v>
      </c>
      <c r="J21" s="19">
        <v>125272</v>
      </c>
      <c r="K21" s="15">
        <v>0</v>
      </c>
      <c r="L21" s="15">
        <v>7210.679736</v>
      </c>
      <c r="M21" s="19">
        <v>133274</v>
      </c>
      <c r="N21" s="15">
        <v>0</v>
      </c>
      <c r="O21" s="24">
        <v>8608.5629090000002</v>
      </c>
    </row>
    <row r="22" spans="1:15" customFormat="1" ht="13.35" customHeight="1">
      <c r="A22" s="26"/>
      <c r="B22" s="27" t="s">
        <v>126</v>
      </c>
      <c r="C22" s="27"/>
      <c r="D22" s="19">
        <v>13433.549926680835</v>
      </c>
      <c r="E22" s="15">
        <v>0</v>
      </c>
      <c r="F22" s="15">
        <v>445.47790841012261</v>
      </c>
      <c r="G22" s="19">
        <v>14401.753899005282</v>
      </c>
      <c r="H22" s="15">
        <v>0</v>
      </c>
      <c r="I22" s="15">
        <v>508.06786959523743</v>
      </c>
      <c r="J22" s="19">
        <v>14923</v>
      </c>
      <c r="K22" s="15">
        <v>0</v>
      </c>
      <c r="L22" s="15">
        <v>527.16494399999999</v>
      </c>
      <c r="M22" s="19">
        <v>14735</v>
      </c>
      <c r="N22" s="15">
        <v>0</v>
      </c>
      <c r="O22" s="24">
        <v>542.71953499999995</v>
      </c>
    </row>
    <row r="23" spans="1:15" customFormat="1" ht="13.35" customHeight="1">
      <c r="A23" s="26"/>
      <c r="B23" s="27" t="s">
        <v>127</v>
      </c>
      <c r="C23" s="27"/>
      <c r="D23" s="19">
        <v>21717.040570306359</v>
      </c>
      <c r="E23" s="15">
        <v>0</v>
      </c>
      <c r="F23" s="15">
        <v>869.75582741484357</v>
      </c>
      <c r="G23" s="19">
        <v>23282.265329365786</v>
      </c>
      <c r="H23" s="15">
        <v>0</v>
      </c>
      <c r="I23" s="15">
        <v>991.95713628043382</v>
      </c>
      <c r="J23" s="19">
        <v>22717</v>
      </c>
      <c r="K23" s="15">
        <v>0</v>
      </c>
      <c r="L23" s="15">
        <v>964.69671700000004</v>
      </c>
      <c r="M23" s="19">
        <v>23821</v>
      </c>
      <c r="N23" s="15">
        <v>0</v>
      </c>
      <c r="O23" s="24">
        <v>1059.611418</v>
      </c>
    </row>
    <row r="24" spans="1:15" customFormat="1" ht="13.35" customHeight="1">
      <c r="A24" s="26"/>
      <c r="B24" s="27" t="s">
        <v>128</v>
      </c>
      <c r="C24" s="27"/>
      <c r="D24" s="19">
        <v>11532.704891246187</v>
      </c>
      <c r="E24" s="15">
        <v>0</v>
      </c>
      <c r="F24" s="15">
        <v>186.40871108128033</v>
      </c>
      <c r="G24" s="19">
        <v>12363.908165756147</v>
      </c>
      <c r="H24" s="15">
        <v>0</v>
      </c>
      <c r="I24" s="15">
        <v>212.59926682125942</v>
      </c>
      <c r="J24" s="19">
        <v>11938</v>
      </c>
      <c r="K24" s="15">
        <v>0</v>
      </c>
      <c r="L24" s="15">
        <v>201.44747599999999</v>
      </c>
      <c r="M24" s="19">
        <v>12650</v>
      </c>
      <c r="N24" s="15">
        <v>0</v>
      </c>
      <c r="O24" s="24">
        <v>227.09913800000001</v>
      </c>
    </row>
    <row r="25" spans="1:15" customFormat="1" ht="13.35" customHeight="1">
      <c r="A25" s="26"/>
      <c r="B25" s="27" t="s">
        <v>146</v>
      </c>
      <c r="C25" s="27"/>
      <c r="D25" s="19">
        <v>21810.943226733103</v>
      </c>
      <c r="E25" s="15">
        <v>0</v>
      </c>
      <c r="F25" s="15">
        <v>812.33947495227017</v>
      </c>
      <c r="G25" s="19">
        <v>23382.935885972336</v>
      </c>
      <c r="H25" s="15">
        <v>0</v>
      </c>
      <c r="I25" s="15">
        <v>926.47374569054011</v>
      </c>
      <c r="J25" s="19">
        <v>20958</v>
      </c>
      <c r="K25" s="15">
        <v>0</v>
      </c>
      <c r="L25" s="15">
        <v>795.43801599999995</v>
      </c>
      <c r="M25" s="19">
        <v>23924</v>
      </c>
      <c r="N25" s="15">
        <v>0</v>
      </c>
      <c r="O25" s="24">
        <v>989.66187500000001</v>
      </c>
    </row>
    <row r="26" spans="1:15" customFormat="1" ht="13.35" customHeight="1">
      <c r="A26" s="26"/>
      <c r="B26" s="27" t="s">
        <v>129</v>
      </c>
      <c r="C26" s="27"/>
      <c r="D26" s="19">
        <v>4097.9848605653442</v>
      </c>
      <c r="E26" s="15">
        <v>0</v>
      </c>
      <c r="F26" s="15">
        <v>175.92881624866604</v>
      </c>
      <c r="G26" s="19">
        <v>4393.3412810335085</v>
      </c>
      <c r="H26" s="15">
        <v>0</v>
      </c>
      <c r="I26" s="15">
        <v>200.64693935301031</v>
      </c>
      <c r="J26" s="19">
        <v>4583</v>
      </c>
      <c r="K26" s="15">
        <v>0</v>
      </c>
      <c r="L26" s="15">
        <v>194.666011</v>
      </c>
      <c r="M26" s="19">
        <v>4495</v>
      </c>
      <c r="N26" s="15">
        <v>0</v>
      </c>
      <c r="O26" s="24">
        <v>214.33162799999999</v>
      </c>
    </row>
    <row r="27" spans="1:15" s="1" customFormat="1" ht="13.35" customHeight="1">
      <c r="A27" s="26"/>
      <c r="B27" s="27" t="s">
        <v>130</v>
      </c>
      <c r="C27" s="27"/>
      <c r="D27" s="19">
        <v>400921.49415724084</v>
      </c>
      <c r="E27" s="15">
        <v>0</v>
      </c>
      <c r="F27" s="15">
        <v>8170.2405264810477</v>
      </c>
      <c r="G27" s="19">
        <v>429817.33965987514</v>
      </c>
      <c r="H27" s="15">
        <v>0</v>
      </c>
      <c r="I27" s="15">
        <v>9318.1650986569384</v>
      </c>
      <c r="J27" s="19">
        <v>683089</v>
      </c>
      <c r="K27" s="15">
        <v>0</v>
      </c>
      <c r="L27" s="15">
        <v>15742.476928</v>
      </c>
      <c r="M27" s="19">
        <v>439763</v>
      </c>
      <c r="N27" s="15">
        <v>0</v>
      </c>
      <c r="O27" s="24">
        <v>9953.6903079999993</v>
      </c>
    </row>
    <row r="28" spans="1:15" customFormat="1" ht="13.35" customHeight="1">
      <c r="A28" s="26"/>
      <c r="B28" s="27" t="s">
        <v>131</v>
      </c>
      <c r="C28" s="27"/>
      <c r="D28" s="19">
        <v>2059.4767074565325</v>
      </c>
      <c r="E28" s="15">
        <v>0</v>
      </c>
      <c r="F28" s="15">
        <v>114.89545455450043</v>
      </c>
      <c r="G28" s="19">
        <v>2207.910557031078</v>
      </c>
      <c r="H28" s="15">
        <v>0</v>
      </c>
      <c r="I28" s="15">
        <v>131.03834717644327</v>
      </c>
      <c r="J28" s="19">
        <v>2048</v>
      </c>
      <c r="K28" s="15">
        <v>0</v>
      </c>
      <c r="L28" s="15">
        <v>128.33328700000001</v>
      </c>
      <c r="M28" s="19">
        <v>2259</v>
      </c>
      <c r="N28" s="15">
        <v>0</v>
      </c>
      <c r="O28" s="24">
        <v>139.97553300000001</v>
      </c>
    </row>
    <row r="29" spans="1:15" customFormat="1" ht="13.35" customHeight="1">
      <c r="A29" s="26"/>
      <c r="B29" s="27" t="s">
        <v>132</v>
      </c>
      <c r="C29" s="27"/>
      <c r="D29" s="19">
        <v>33977.263129790845</v>
      </c>
      <c r="E29" s="15">
        <v>0</v>
      </c>
      <c r="F29" s="15">
        <v>1030.9127396849631</v>
      </c>
      <c r="G29" s="19">
        <v>36426.125962811529</v>
      </c>
      <c r="H29" s="15">
        <v>0</v>
      </c>
      <c r="I29" s="15">
        <v>1175.7567086988392</v>
      </c>
      <c r="J29" s="19">
        <v>34650</v>
      </c>
      <c r="K29" s="15">
        <v>0</v>
      </c>
      <c r="L29" s="15">
        <v>1108.375417</v>
      </c>
      <c r="M29" s="19">
        <v>37269</v>
      </c>
      <c r="N29" s="15">
        <v>0</v>
      </c>
      <c r="O29" s="24">
        <v>1255.946641</v>
      </c>
    </row>
    <row r="30" spans="1:15" customFormat="1" ht="13.35" customHeight="1">
      <c r="A30" s="26"/>
      <c r="B30" s="27" t="s">
        <v>138</v>
      </c>
      <c r="C30" s="27"/>
      <c r="D30" s="19">
        <v>16430.229845852868</v>
      </c>
      <c r="E30" s="15">
        <v>0</v>
      </c>
      <c r="F30" s="15">
        <v>578.52832127323677</v>
      </c>
      <c r="G30" s="19">
        <v>17614.415254012434</v>
      </c>
      <c r="H30" s="15">
        <v>0</v>
      </c>
      <c r="I30" s="15">
        <v>659.81195956231045</v>
      </c>
      <c r="J30" s="19">
        <v>18215</v>
      </c>
      <c r="K30" s="15">
        <v>0</v>
      </c>
      <c r="L30" s="15">
        <v>639.42565200000001</v>
      </c>
      <c r="M30" s="19">
        <v>18022</v>
      </c>
      <c r="N30" s="15">
        <v>0</v>
      </c>
      <c r="O30" s="24">
        <v>704.81300099999999</v>
      </c>
    </row>
    <row r="31" spans="1:15" customFormat="1" ht="13.35" customHeight="1">
      <c r="A31" s="26"/>
      <c r="B31" s="27" t="s">
        <v>8</v>
      </c>
      <c r="C31" s="27"/>
      <c r="D31" s="19">
        <v>4942.1970921300854</v>
      </c>
      <c r="E31" s="15">
        <v>0</v>
      </c>
      <c r="F31" s="15">
        <v>162.73109179219401</v>
      </c>
      <c r="G31" s="19">
        <v>5298.3989064477528</v>
      </c>
      <c r="H31" s="15">
        <v>0</v>
      </c>
      <c r="I31" s="15">
        <v>185.59492527663201</v>
      </c>
      <c r="J31" s="19">
        <v>5567</v>
      </c>
      <c r="K31" s="15">
        <v>0</v>
      </c>
      <c r="L31" s="15">
        <v>181.88385400000001</v>
      </c>
      <c r="M31" s="19">
        <v>5421</v>
      </c>
      <c r="N31" s="15">
        <v>0</v>
      </c>
      <c r="O31" s="24">
        <v>198.25302400000001</v>
      </c>
    </row>
    <row r="32" spans="1:15" customFormat="1" ht="13.35" customHeight="1">
      <c r="A32" s="26"/>
      <c r="B32" s="27" t="s">
        <v>133</v>
      </c>
      <c r="C32" s="27"/>
      <c r="D32" s="19">
        <v>633.61501181154949</v>
      </c>
      <c r="E32" s="15">
        <v>0</v>
      </c>
      <c r="F32" s="15">
        <v>8.6281992119787461</v>
      </c>
      <c r="G32" s="19">
        <v>679.28191108304532</v>
      </c>
      <c r="H32" s="15">
        <v>0</v>
      </c>
      <c r="I32" s="15">
        <v>9.8404673033472836</v>
      </c>
      <c r="J32" s="19">
        <v>832</v>
      </c>
      <c r="K32" s="15">
        <v>0</v>
      </c>
      <c r="L32" s="15">
        <v>8.1976130000000005</v>
      </c>
      <c r="M32" s="19">
        <v>695</v>
      </c>
      <c r="N32" s="15">
        <v>0</v>
      </c>
      <c r="O32" s="24">
        <v>10.511615000000001</v>
      </c>
    </row>
    <row r="33" spans="1:15" customFormat="1" ht="13.35" customHeight="1">
      <c r="A33" s="26"/>
      <c r="B33" s="27" t="s">
        <v>134</v>
      </c>
      <c r="C33" s="27"/>
      <c r="D33" s="19">
        <v>127922.76834150987</v>
      </c>
      <c r="E33" s="15">
        <v>0</v>
      </c>
      <c r="F33" s="15">
        <v>5020.5164720714984</v>
      </c>
      <c r="G33" s="19">
        <v>137142.61961946558</v>
      </c>
      <c r="H33" s="15">
        <v>0</v>
      </c>
      <c r="I33" s="15">
        <v>5725.902587036574</v>
      </c>
      <c r="J33" s="19">
        <v>116706</v>
      </c>
      <c r="K33" s="15">
        <v>0</v>
      </c>
      <c r="L33" s="15">
        <v>4865.6108690000001</v>
      </c>
      <c r="M33" s="19">
        <v>140316</v>
      </c>
      <c r="N33" s="15">
        <v>0</v>
      </c>
      <c r="O33" s="24">
        <v>6116.4253349999999</v>
      </c>
    </row>
    <row r="34" spans="1:15" customFormat="1" ht="13.35" customHeight="1">
      <c r="A34" s="26"/>
      <c r="B34" s="27" t="s">
        <v>147</v>
      </c>
      <c r="C34" s="27"/>
      <c r="D34" s="19">
        <v>44529.916024350096</v>
      </c>
      <c r="E34" s="15">
        <v>0</v>
      </c>
      <c r="F34" s="15">
        <v>1636.14782755429</v>
      </c>
      <c r="G34" s="19">
        <v>47739.346280489583</v>
      </c>
      <c r="H34" s="15">
        <v>0</v>
      </c>
      <c r="I34" s="15">
        <v>1866.0277544517064</v>
      </c>
      <c r="J34" s="19">
        <v>47857</v>
      </c>
      <c r="K34" s="15">
        <v>0</v>
      </c>
      <c r="L34" s="15">
        <v>1809.5293369999999</v>
      </c>
      <c r="M34" s="19">
        <v>48844</v>
      </c>
      <c r="N34" s="15">
        <v>0</v>
      </c>
      <c r="O34" s="24">
        <v>1993.296124</v>
      </c>
    </row>
    <row r="35" spans="1:15" customFormat="1" ht="13.35" customHeight="1">
      <c r="A35" s="26"/>
      <c r="B35" s="27" t="s">
        <v>135</v>
      </c>
      <c r="C35" s="27"/>
      <c r="D35" s="19">
        <v>82439.238932476495</v>
      </c>
      <c r="E35" s="15">
        <v>0</v>
      </c>
      <c r="F35" s="15">
        <v>3583.0858874282758</v>
      </c>
      <c r="G35" s="19">
        <v>88380.929628194892</v>
      </c>
      <c r="H35" s="15">
        <v>0</v>
      </c>
      <c r="I35" s="15">
        <v>4086.5119886629118</v>
      </c>
      <c r="J35" s="19">
        <v>85125</v>
      </c>
      <c r="K35" s="15">
        <v>0</v>
      </c>
      <c r="L35" s="15">
        <v>4266.6754510000001</v>
      </c>
      <c r="M35" s="19">
        <v>90426</v>
      </c>
      <c r="N35" s="15">
        <v>0</v>
      </c>
      <c r="O35" s="24">
        <v>4365.2236620000003</v>
      </c>
    </row>
    <row r="36" spans="1:15" customFormat="1" ht="13.35" customHeight="1">
      <c r="A36" s="26"/>
      <c r="B36" s="27" t="s">
        <v>148</v>
      </c>
      <c r="C36" s="27"/>
      <c r="D36" s="19">
        <v>12606.659544359864</v>
      </c>
      <c r="E36" s="15">
        <v>0</v>
      </c>
      <c r="F36" s="15">
        <v>300.04640030094868</v>
      </c>
      <c r="G36" s="19">
        <v>13515.26657044079</v>
      </c>
      <c r="H36" s="15">
        <v>0</v>
      </c>
      <c r="I36" s="15">
        <v>342.20313174380254</v>
      </c>
      <c r="J36" s="19">
        <v>7411</v>
      </c>
      <c r="K36" s="15">
        <v>0</v>
      </c>
      <c r="L36" s="15">
        <v>244.41059300000001</v>
      </c>
      <c r="M36" s="19">
        <v>13828</v>
      </c>
      <c r="N36" s="15">
        <v>0</v>
      </c>
      <c r="O36" s="24">
        <v>365.54235299999999</v>
      </c>
    </row>
    <row r="37" spans="1:15" customFormat="1" ht="13.35" customHeight="1">
      <c r="A37" s="26"/>
      <c r="B37" s="27" t="s">
        <v>99</v>
      </c>
      <c r="C37" s="27"/>
      <c r="D37" s="19">
        <f>D47</f>
        <v>120309.35976073542</v>
      </c>
      <c r="E37" s="15">
        <v>0</v>
      </c>
      <c r="F37" s="15">
        <f>(F47)/1000000</f>
        <v>2053.4042479662726</v>
      </c>
      <c r="G37" s="19">
        <f>G47</f>
        <v>128980.48546197706</v>
      </c>
      <c r="H37" s="15">
        <v>0</v>
      </c>
      <c r="I37" s="15">
        <f>(I47)/1000000</f>
        <v>2341.9089970260989</v>
      </c>
      <c r="J37" s="19">
        <f t="shared" ref="J37:O37" si="0">J47</f>
        <v>156990</v>
      </c>
      <c r="K37" s="15">
        <f t="shared" si="0"/>
        <v>-690231.23948099988</v>
      </c>
      <c r="L37" s="15">
        <f t="shared" si="0"/>
        <v>2966.9725530000001</v>
      </c>
      <c r="M37" s="19">
        <f t="shared" si="0"/>
        <v>131965</v>
      </c>
      <c r="N37" s="15">
        <f t="shared" si="0"/>
        <v>-690231.23948099988</v>
      </c>
      <c r="O37" s="24">
        <f t="shared" si="0"/>
        <v>2501.6338129999999</v>
      </c>
    </row>
    <row r="38" spans="1:15" customFormat="1" ht="13.35" customHeight="1">
      <c r="A38" s="88"/>
      <c r="B38" s="75" t="s">
        <v>9</v>
      </c>
      <c r="C38" s="89"/>
      <c r="D38" s="20">
        <f t="shared" ref="D38:O38" si="1">SUM(D4:D37)</f>
        <v>4123231.0000000019</v>
      </c>
      <c r="E38" s="18">
        <f t="shared" si="1"/>
        <v>0</v>
      </c>
      <c r="F38" s="18">
        <f t="shared" ref="F38:H38" si="2">SUM(F4:F37)</f>
        <v>149523.96105900002</v>
      </c>
      <c r="G38" s="20">
        <f t="shared" si="2"/>
        <v>4420407</v>
      </c>
      <c r="H38" s="18">
        <f t="shared" si="2"/>
        <v>0</v>
      </c>
      <c r="I38" s="18">
        <f t="shared" ref="I38" si="3">SUM(I4:I37)</f>
        <v>170532.18333499995</v>
      </c>
      <c r="J38" s="20">
        <f t="shared" si="1"/>
        <v>4584519</v>
      </c>
      <c r="K38" s="18">
        <f t="shared" si="1"/>
        <v>-690231.23948099988</v>
      </c>
      <c r="L38" s="18">
        <f t="shared" si="1"/>
        <v>170551.41920400001</v>
      </c>
      <c r="M38" s="20">
        <f t="shared" si="1"/>
        <v>4522692</v>
      </c>
      <c r="N38" s="18">
        <f t="shared" si="1"/>
        <v>-690231.23948099988</v>
      </c>
      <c r="O38" s="25">
        <f t="shared" si="1"/>
        <v>182162.96046399997</v>
      </c>
    </row>
    <row r="39" spans="1:15" customFormat="1" ht="12" customHeight="1">
      <c r="A39" s="1"/>
      <c r="B39" s="29" t="s">
        <v>516</v>
      </c>
      <c r="C39" s="1"/>
      <c r="D39" s="1"/>
      <c r="E39" s="1"/>
      <c r="F39" s="1"/>
      <c r="G39" s="1"/>
      <c r="H39" s="1"/>
      <c r="I39" s="1"/>
      <c r="J39" s="1"/>
      <c r="K39" s="1"/>
      <c r="L39" s="1"/>
      <c r="M39" s="1"/>
      <c r="N39" s="1"/>
      <c r="O39" s="1"/>
    </row>
    <row r="40" spans="1:15" customFormat="1" ht="13.35" customHeight="1">
      <c r="J40" s="1"/>
      <c r="K40" s="1"/>
    </row>
    <row r="41" spans="1:15" customFormat="1" ht="13.35" customHeight="1">
      <c r="G41" s="560" t="s">
        <v>506</v>
      </c>
      <c r="J41" s="1"/>
      <c r="K41" s="1"/>
    </row>
    <row r="42" spans="1:15" customFormat="1" ht="13.35" customHeight="1">
      <c r="J42" s="1"/>
      <c r="K42" s="1"/>
    </row>
    <row r="43" spans="1:15" customFormat="1" ht="13.35" customHeight="1">
      <c r="J43" s="1"/>
      <c r="K43" s="1"/>
    </row>
    <row r="44" spans="1:15" s="21" customFormat="1" ht="13.35" customHeight="1">
      <c r="A44" s="3"/>
      <c r="B44" s="17"/>
      <c r="C44" s="123" t="s">
        <v>263</v>
      </c>
      <c r="D44" s="124">
        <f>D38-A2.1.1!D29</f>
        <v>0</v>
      </c>
      <c r="E44" s="124">
        <f>E38-A2.1.1!E29</f>
        <v>-692570.49087600014</v>
      </c>
      <c r="F44" s="124">
        <f>F38-A2.1.1!F29</f>
        <v>-7.9999736044555902E-6</v>
      </c>
      <c r="G44" s="124">
        <f>G38-A2.1.1!G29</f>
        <v>0</v>
      </c>
      <c r="H44" s="124">
        <f>H38-A2.1.1!H29</f>
        <v>-796819.29525199987</v>
      </c>
      <c r="I44" s="124">
        <f>I38-A2.1.1!I29</f>
        <v>3.1999923521652818E-5</v>
      </c>
      <c r="J44" s="124">
        <f>J38-A2.1.1!J29</f>
        <v>0</v>
      </c>
      <c r="K44" s="124">
        <f>K38-A2.1.1!K29</f>
        <v>-1520387.780518</v>
      </c>
      <c r="L44" s="124">
        <f>L38-A2.1.1!L29</f>
        <v>5.0999951781705022E-5</v>
      </c>
      <c r="M44" s="124">
        <f>M38-A2.1.1!M29</f>
        <v>0</v>
      </c>
      <c r="N44" s="124">
        <f>N38-A2.1.1!N29</f>
        <v>-1575472.2831969997</v>
      </c>
      <c r="O44" s="125">
        <f>O38-A2.1.1!O29</f>
        <v>1.6999954823404551E-5</v>
      </c>
    </row>
    <row r="45" spans="1:15" customFormat="1" ht="13.35" customHeight="1">
      <c r="J45" s="1"/>
      <c r="K45" s="1"/>
    </row>
    <row r="46" spans="1:15" customFormat="1" ht="13.35" customHeight="1">
      <c r="J46" s="1"/>
      <c r="K46" s="1"/>
    </row>
    <row r="47" spans="1:15" customFormat="1" ht="13.35" customHeight="1">
      <c r="C47" s="270" t="s">
        <v>5</v>
      </c>
      <c r="D47" s="271">
        <v>120309.35976073542</v>
      </c>
      <c r="E47" s="271">
        <v>-690231.23948099988</v>
      </c>
      <c r="F47" s="271">
        <v>2053404247.9662724</v>
      </c>
      <c r="G47" s="271">
        <v>128980.48546197706</v>
      </c>
      <c r="H47" s="271">
        <v>-690231.23948099988</v>
      </c>
      <c r="I47" s="271">
        <v>2341908997.0260987</v>
      </c>
      <c r="J47" s="271">
        <v>156990</v>
      </c>
      <c r="K47" s="271">
        <v>-690231.23948099988</v>
      </c>
      <c r="L47" s="271">
        <v>2966.9725530000001</v>
      </c>
      <c r="M47" s="271">
        <v>131965</v>
      </c>
      <c r="N47" s="271">
        <v>-690231.23948099988</v>
      </c>
      <c r="O47" s="272">
        <v>2501.6338129999999</v>
      </c>
    </row>
    <row r="48" spans="1:15" customFormat="1" ht="13.35" customHeight="1">
      <c r="C48" s="268" t="s">
        <v>375</v>
      </c>
      <c r="D48" s="264">
        <v>0</v>
      </c>
      <c r="E48" s="264">
        <v>0</v>
      </c>
      <c r="F48" s="264">
        <v>0</v>
      </c>
      <c r="G48" s="264">
        <v>0</v>
      </c>
      <c r="H48" s="264">
        <v>0</v>
      </c>
      <c r="I48" s="264">
        <v>0</v>
      </c>
      <c r="J48" s="264">
        <v>0</v>
      </c>
      <c r="K48" s="264">
        <v>0</v>
      </c>
      <c r="L48" s="264">
        <v>0</v>
      </c>
      <c r="M48" s="264">
        <v>0</v>
      </c>
      <c r="N48" s="264">
        <v>0</v>
      </c>
      <c r="O48" s="265">
        <v>0</v>
      </c>
    </row>
    <row r="49" spans="3:15" customFormat="1" ht="13.35" customHeight="1">
      <c r="C49" s="269" t="s">
        <v>270</v>
      </c>
      <c r="D49" s="266">
        <v>0</v>
      </c>
      <c r="E49" s="266">
        <v>0</v>
      </c>
      <c r="F49" s="266">
        <v>0</v>
      </c>
      <c r="G49" s="266">
        <v>0</v>
      </c>
      <c r="H49" s="266">
        <v>0</v>
      </c>
      <c r="I49" s="266">
        <v>0</v>
      </c>
      <c r="J49" s="266">
        <v>0</v>
      </c>
      <c r="K49" s="266">
        <v>0</v>
      </c>
      <c r="L49" s="266">
        <v>0</v>
      </c>
      <c r="M49" s="266">
        <v>0</v>
      </c>
      <c r="N49" s="266">
        <v>0</v>
      </c>
      <c r="O49" s="267">
        <v>0</v>
      </c>
    </row>
    <row r="50" spans="3:15" customFormat="1" ht="13.35" customHeight="1">
      <c r="C50" s="46"/>
      <c r="D50" s="45"/>
      <c r="E50" s="45"/>
      <c r="F50" s="45"/>
      <c r="G50" s="45"/>
      <c r="H50" s="45"/>
      <c r="I50" s="45"/>
      <c r="J50" s="70"/>
      <c r="K50" s="70"/>
      <c r="L50" s="45"/>
      <c r="M50" s="45"/>
      <c r="N50" s="45"/>
      <c r="O50" s="45"/>
    </row>
    <row r="51" spans="3:15" customFormat="1" ht="13.35" customHeight="1">
      <c r="C51" s="46"/>
      <c r="D51" s="45"/>
      <c r="E51" s="45"/>
      <c r="F51" s="45"/>
      <c r="G51" s="45"/>
      <c r="H51" s="45"/>
      <c r="I51" s="45"/>
      <c r="J51" s="70"/>
      <c r="K51" s="70"/>
    </row>
  </sheetData>
  <mergeCells count="1">
    <mergeCell ref="B3:C3"/>
  </mergeCells>
  <phoneticPr fontId="7" type="noConversion"/>
  <hyperlinks>
    <hyperlink ref="G41" location="CONTENTS!A1" display="BACK TO CONTENTS"/>
  </hyperlinks>
  <pageMargins left="0.98425196850393704" right="0.98425196850393704" top="0.98425196850393704" bottom="0.98425196850393704" header="0.51181102362204722" footer="0.51181102362204722"/>
  <pageSetup paperSize="9" scale="84" orientation="landscape" r:id="rId1"/>
  <headerFooter alignWithMargins="0"/>
</worksheet>
</file>

<file path=xl/worksheets/sheet28.xml><?xml version="1.0" encoding="utf-8"?>
<worksheet xmlns="http://schemas.openxmlformats.org/spreadsheetml/2006/main" xmlns:r="http://schemas.openxmlformats.org/officeDocument/2006/relationships">
  <sheetPr codeName="Sheet28" enableFormatConditionsCalculation="0">
    <pageSetUpPr fitToPage="1"/>
  </sheetPr>
  <dimension ref="A1:R44"/>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36.7109375" style="2" customWidth="1"/>
    <col min="4" max="4" width="9.7109375" style="2" customWidth="1"/>
    <col min="5" max="5" width="9.7109375" style="2" hidden="1" customWidth="1"/>
    <col min="6" max="6" width="9.7109375" style="2" customWidth="1"/>
    <col min="7" max="7" width="9.7109375" style="14" customWidth="1"/>
    <col min="8" max="8" width="9.7109375" style="14" hidden="1" customWidth="1"/>
    <col min="9" max="10" width="9.7109375" style="6" customWidth="1"/>
    <col min="11" max="11" width="9.7109375" style="6" hidden="1" customWidth="1"/>
    <col min="12" max="13" width="9.7109375" style="6" customWidth="1"/>
    <col min="14" max="14" width="9.7109375" style="6" hidden="1" customWidth="1"/>
    <col min="15" max="15" width="9.7109375" style="6" customWidth="1"/>
    <col min="16" max="16" width="9.140625" style="6"/>
    <col min="17" max="18" width="8.7109375" style="6" customWidth="1"/>
    <col min="19" max="16384" width="9.140625" style="10"/>
  </cols>
  <sheetData>
    <row r="1" spans="1:18" s="8" customFormat="1" ht="15" customHeight="1">
      <c r="A1" s="53" t="s">
        <v>448</v>
      </c>
      <c r="B1" s="455"/>
      <c r="C1" s="53"/>
      <c r="D1" s="78"/>
      <c r="E1" s="78"/>
      <c r="F1" s="78"/>
      <c r="G1" s="66"/>
      <c r="H1" s="66"/>
      <c r="I1" s="5"/>
      <c r="J1" s="4"/>
      <c r="K1" s="4"/>
      <c r="L1" s="4"/>
      <c r="M1" s="4"/>
      <c r="N1" s="4"/>
      <c r="O1" s="4"/>
      <c r="P1" s="4"/>
      <c r="Q1" s="4"/>
      <c r="R1" s="4"/>
    </row>
    <row r="2" spans="1:18" s="8" customFormat="1" ht="15" customHeight="1">
      <c r="A2" s="90"/>
      <c r="B2" s="91" t="s">
        <v>183</v>
      </c>
      <c r="C2" s="92"/>
      <c r="D2" s="84" t="s">
        <v>463</v>
      </c>
      <c r="E2" s="67"/>
      <c r="F2" s="67"/>
      <c r="G2" s="65" t="s">
        <v>464</v>
      </c>
      <c r="H2" s="67"/>
      <c r="I2" s="67"/>
      <c r="J2" s="65" t="s">
        <v>465</v>
      </c>
      <c r="K2" s="67"/>
      <c r="L2" s="67"/>
      <c r="M2" s="65" t="s">
        <v>466</v>
      </c>
      <c r="N2" s="67"/>
      <c r="O2" s="85"/>
      <c r="P2" s="4"/>
      <c r="Q2" s="4"/>
      <c r="R2" s="4"/>
    </row>
    <row r="3" spans="1:18" ht="22.5">
      <c r="A3" s="80"/>
      <c r="B3" s="704" t="s">
        <v>212</v>
      </c>
      <c r="C3" s="705"/>
      <c r="D3" s="32" t="s">
        <v>18</v>
      </c>
      <c r="E3" s="33" t="s">
        <v>85</v>
      </c>
      <c r="F3" s="33" t="s">
        <v>86</v>
      </c>
      <c r="G3" s="32" t="s">
        <v>18</v>
      </c>
      <c r="H3" s="33" t="s">
        <v>85</v>
      </c>
      <c r="I3" s="33" t="s">
        <v>86</v>
      </c>
      <c r="J3" s="32" t="s">
        <v>18</v>
      </c>
      <c r="K3" s="33" t="s">
        <v>85</v>
      </c>
      <c r="L3" s="33" t="s">
        <v>86</v>
      </c>
      <c r="M3" s="32" t="s">
        <v>18</v>
      </c>
      <c r="N3" s="33" t="s">
        <v>85</v>
      </c>
      <c r="O3" s="86" t="s">
        <v>86</v>
      </c>
      <c r="R3" s="9"/>
    </row>
    <row r="4" spans="1:18" ht="13.35" customHeight="1">
      <c r="A4" s="49"/>
      <c r="B4" s="16" t="s">
        <v>117</v>
      </c>
      <c r="C4" s="16"/>
      <c r="D4" s="62">
        <f>A2.3.1!D4/A2.3.1!D$38</f>
        <v>0.18384647904389681</v>
      </c>
      <c r="E4" s="58" t="e">
        <f>A2.3.1!E4/A2.3.1!E$38</f>
        <v>#DIV/0!</v>
      </c>
      <c r="F4" s="58">
        <f>A2.3.1!F4/A2.3.1!F$38</f>
        <v>0.20176848061416777</v>
      </c>
      <c r="G4" s="62">
        <f>A2.3.1!G4/A2.3.1!G$38</f>
        <v>0.18384647904389687</v>
      </c>
      <c r="H4" s="58" t="e">
        <f>A2.3.1!H4/A2.3.1!H$38</f>
        <v>#DIV/0!</v>
      </c>
      <c r="I4" s="58">
        <f>A2.3.1!I4/A2.3.1!I$38</f>
        <v>0.20176848061416788</v>
      </c>
      <c r="J4" s="62">
        <f>A2.3.1!J4/A2.3.1!J$38</f>
        <v>0.17761121722911388</v>
      </c>
      <c r="K4" s="58">
        <f>A2.3.1!K4/A2.3.1!K$38</f>
        <v>0</v>
      </c>
      <c r="L4" s="58">
        <f>A2.3.1!L4/A2.3.1!L$38</f>
        <v>0.19888273033616874</v>
      </c>
      <c r="M4" s="62">
        <f>A2.3.1!M4/A2.3.1!M$38</f>
        <v>0.18384647904389687</v>
      </c>
      <c r="N4" s="58">
        <f>A2.3.1!N4/A2.3.1!N$38</f>
        <v>0</v>
      </c>
      <c r="O4" s="59">
        <f>A2.3.1!O4/A2.3.1!O$38</f>
        <v>0.2017684806141678</v>
      </c>
      <c r="R4" s="11"/>
    </row>
    <row r="5" spans="1:18" ht="13.35" customHeight="1">
      <c r="A5" s="49"/>
      <c r="B5" s="16" t="s">
        <v>118</v>
      </c>
      <c r="C5" s="16"/>
      <c r="D5" s="62">
        <f>A2.3.1!D5/A2.3.1!D$38</f>
        <v>1.7284838321955147E-2</v>
      </c>
      <c r="E5" s="58" t="e">
        <f>A2.3.1!E5/A2.3.1!E$38</f>
        <v>#DIV/0!</v>
      </c>
      <c r="F5" s="58">
        <f>A2.3.1!F5/A2.3.1!F$38</f>
        <v>2.3439924571514836E-2</v>
      </c>
      <c r="G5" s="62">
        <f>A2.3.1!G5/A2.3.1!G$38</f>
        <v>1.7284838321955154E-2</v>
      </c>
      <c r="H5" s="58" t="e">
        <f>A2.3.1!H5/A2.3.1!H$38</f>
        <v>#DIV/0!</v>
      </c>
      <c r="I5" s="58">
        <f>A2.3.1!I5/A2.3.1!I$38</f>
        <v>2.343992457151485E-2</v>
      </c>
      <c r="J5" s="62">
        <f>A2.3.1!J5/A2.3.1!J$38</f>
        <v>1.6585164114272404E-2</v>
      </c>
      <c r="K5" s="58">
        <f>A2.3.1!K5/A2.3.1!K$38</f>
        <v>0</v>
      </c>
      <c r="L5" s="58">
        <f>A2.3.1!L5/A2.3.1!L$38</f>
        <v>2.2228441203795541E-2</v>
      </c>
      <c r="M5" s="62">
        <f>A2.3.1!M5/A2.3.1!M$38</f>
        <v>1.7284838321955154E-2</v>
      </c>
      <c r="N5" s="58">
        <f>A2.3.1!N5/A2.3.1!N$38</f>
        <v>0</v>
      </c>
      <c r="O5" s="59">
        <f>A2.3.1!O5/A2.3.1!O$38</f>
        <v>2.3439924571514843E-2</v>
      </c>
      <c r="R5" s="12"/>
    </row>
    <row r="6" spans="1:18" ht="13.35" customHeight="1">
      <c r="A6" s="49"/>
      <c r="B6" s="16" t="s">
        <v>139</v>
      </c>
      <c r="C6" s="16"/>
      <c r="D6" s="62">
        <f>A2.3.1!D6/A2.3.1!D$38</f>
        <v>2.8025344197659258E-3</v>
      </c>
      <c r="E6" s="58" t="e">
        <f>A2.3.1!E6/A2.3.1!E$38</f>
        <v>#DIV/0!</v>
      </c>
      <c r="F6" s="58">
        <f>A2.3.1!F6/A2.3.1!F$38</f>
        <v>3.0254914478562048E-3</v>
      </c>
      <c r="G6" s="62">
        <f>A2.3.1!G6/A2.3.1!G$38</f>
        <v>2.8025344197659271E-3</v>
      </c>
      <c r="H6" s="58" t="e">
        <f>A2.3.1!H6/A2.3.1!H$38</f>
        <v>#DIV/0!</v>
      </c>
      <c r="I6" s="58">
        <f>A2.3.1!I6/A2.3.1!I$38</f>
        <v>3.0254914478562061E-3</v>
      </c>
      <c r="J6" s="62">
        <f>A2.3.1!J6/A2.3.1!J$38</f>
        <v>2.3705867507583674E-3</v>
      </c>
      <c r="K6" s="58">
        <f>A2.3.1!K6/A2.3.1!K$38</f>
        <v>0</v>
      </c>
      <c r="L6" s="58">
        <f>A2.3.1!L6/A2.3.1!L$38</f>
        <v>2.7175234317201738E-3</v>
      </c>
      <c r="M6" s="62">
        <f>A2.3.1!M6/A2.3.1!M$38</f>
        <v>2.8025344197659271E-3</v>
      </c>
      <c r="N6" s="58">
        <f>A2.3.1!N6/A2.3.1!N$38</f>
        <v>0</v>
      </c>
      <c r="O6" s="59">
        <f>A2.3.1!O6/A2.3.1!O$38</f>
        <v>3.0254914478562056E-3</v>
      </c>
      <c r="R6" s="12"/>
    </row>
    <row r="7" spans="1:18" ht="13.35" customHeight="1">
      <c r="A7" s="49"/>
      <c r="B7" s="16" t="s">
        <v>119</v>
      </c>
      <c r="C7" s="16"/>
      <c r="D7" s="62">
        <f>A2.3.1!D7/A2.3.1!D$38</f>
        <v>5.2625737061024695E-3</v>
      </c>
      <c r="E7" s="58" t="e">
        <f>A2.3.1!E7/A2.3.1!E$38</f>
        <v>#DIV/0!</v>
      </c>
      <c r="F7" s="58">
        <f>A2.3.1!F7/A2.3.1!F$38</f>
        <v>3.4183821091503487E-3</v>
      </c>
      <c r="G7" s="62">
        <f>A2.3.1!G7/A2.3.1!G$38</f>
        <v>5.2625737061024721E-3</v>
      </c>
      <c r="H7" s="58" t="e">
        <f>A2.3.1!H7/A2.3.1!H$38</f>
        <v>#DIV/0!</v>
      </c>
      <c r="I7" s="58">
        <f>A2.3.1!I7/A2.3.1!I$38</f>
        <v>3.4183821091503504E-3</v>
      </c>
      <c r="J7" s="62">
        <f>A2.3.1!J7/A2.3.1!J$38</f>
        <v>4.9512282531711613E-3</v>
      </c>
      <c r="K7" s="58">
        <f>A2.3.1!K7/A2.3.1!K$38</f>
        <v>0</v>
      </c>
      <c r="L7" s="58">
        <f>A2.3.1!L7/A2.3.1!L$38</f>
        <v>3.3679074245224947E-3</v>
      </c>
      <c r="M7" s="62">
        <f>A2.3.1!M7/A2.3.1!M$38</f>
        <v>5.2625737061024721E-3</v>
      </c>
      <c r="N7" s="58">
        <f>A2.3.1!N7/A2.3.1!N$38</f>
        <v>0</v>
      </c>
      <c r="O7" s="59">
        <f>A2.3.1!O7/A2.3.1!O$38</f>
        <v>3.4183821091503495E-3</v>
      </c>
      <c r="R7" s="12"/>
    </row>
    <row r="8" spans="1:18" ht="13.35" customHeight="1">
      <c r="A8" s="49"/>
      <c r="B8" s="16" t="s">
        <v>140</v>
      </c>
      <c r="C8" s="16"/>
      <c r="D8" s="62">
        <f>A2.3.1!D8/A2.3.1!D$38</f>
        <v>7.3637559223577427E-3</v>
      </c>
      <c r="E8" s="58" t="e">
        <f>A2.3.1!E8/A2.3.1!E$38</f>
        <v>#DIV/0!</v>
      </c>
      <c r="F8" s="58">
        <f>A2.3.1!F8/A2.3.1!F$38</f>
        <v>9.4813469851426167E-3</v>
      </c>
      <c r="G8" s="62">
        <f>A2.3.1!G8/A2.3.1!G$38</f>
        <v>7.3637559223577462E-3</v>
      </c>
      <c r="H8" s="58" t="e">
        <f>A2.3.1!H8/A2.3.1!H$38</f>
        <v>#DIV/0!</v>
      </c>
      <c r="I8" s="58">
        <f>A2.3.1!I8/A2.3.1!I$38</f>
        <v>9.4813469851426201E-3</v>
      </c>
      <c r="J8" s="62">
        <f>A2.3.1!J8/A2.3.1!J$38</f>
        <v>6.7557796139573207E-3</v>
      </c>
      <c r="K8" s="58">
        <f>A2.3.1!K8/A2.3.1!K$38</f>
        <v>0</v>
      </c>
      <c r="L8" s="58">
        <f>A2.3.1!L8/A2.3.1!L$38</f>
        <v>8.8613992193889313E-3</v>
      </c>
      <c r="M8" s="62">
        <f>A2.3.1!M8/A2.3.1!M$38</f>
        <v>7.3637559223577462E-3</v>
      </c>
      <c r="N8" s="58">
        <f>A2.3.1!N8/A2.3.1!N$38</f>
        <v>0</v>
      </c>
      <c r="O8" s="59">
        <f>A2.3.1!O8/A2.3.1!O$38</f>
        <v>9.4813469851426167E-3</v>
      </c>
    </row>
    <row r="9" spans="1:18" ht="13.35" customHeight="1">
      <c r="A9" s="49"/>
      <c r="B9" s="16" t="s">
        <v>120</v>
      </c>
      <c r="C9" s="16"/>
      <c r="D9" s="62">
        <f>A2.3.1!D9/A2.3.1!D$38</f>
        <v>3.2427589586025299E-3</v>
      </c>
      <c r="E9" s="58" t="e">
        <f>A2.3.1!E9/A2.3.1!E$38</f>
        <v>#DIV/0!</v>
      </c>
      <c r="F9" s="58">
        <f>A2.3.1!F9/A2.3.1!F$38</f>
        <v>2.8494354323066657E-3</v>
      </c>
      <c r="G9" s="62">
        <f>A2.3.1!G9/A2.3.1!G$38</f>
        <v>3.2427589586025312E-3</v>
      </c>
      <c r="H9" s="58" t="e">
        <f>A2.3.1!H9/A2.3.1!H$38</f>
        <v>#DIV/0!</v>
      </c>
      <c r="I9" s="58">
        <f>A2.3.1!I9/A2.3.1!I$38</f>
        <v>2.849435432306667E-3</v>
      </c>
      <c r="J9" s="62">
        <f>A2.3.1!J9/A2.3.1!J$38</f>
        <v>3.213641387460713E-3</v>
      </c>
      <c r="K9" s="58">
        <f>A2.3.1!K9/A2.3.1!K$38</f>
        <v>0</v>
      </c>
      <c r="L9" s="58">
        <f>A2.3.1!L9/A2.3.1!L$38</f>
        <v>2.8596895544834096E-3</v>
      </c>
      <c r="M9" s="62">
        <f>A2.3.1!M9/A2.3.1!M$38</f>
        <v>3.2427589586025312E-3</v>
      </c>
      <c r="N9" s="58">
        <f>A2.3.1!N9/A2.3.1!N$38</f>
        <v>0</v>
      </c>
      <c r="O9" s="59">
        <f>A2.3.1!O9/A2.3.1!O$38</f>
        <v>2.8494354323066666E-3</v>
      </c>
    </row>
    <row r="10" spans="1:18" s="51" customFormat="1" ht="13.35" customHeight="1">
      <c r="A10" s="49"/>
      <c r="B10" s="16" t="s">
        <v>141</v>
      </c>
      <c r="C10" s="16"/>
      <c r="D10" s="62">
        <f>A2.3.1!D10/A2.3.1!D$38</f>
        <v>1.8137427885869734E-3</v>
      </c>
      <c r="E10" s="58" t="e">
        <f>A2.3.1!E10/A2.3.1!E$38</f>
        <v>#DIV/0!</v>
      </c>
      <c r="F10" s="58">
        <f>A2.3.1!F10/A2.3.1!F$38</f>
        <v>2.9515298753955803E-3</v>
      </c>
      <c r="G10" s="62">
        <f>A2.3.1!G10/A2.3.1!G$38</f>
        <v>1.8137427885869743E-3</v>
      </c>
      <c r="H10" s="58" t="e">
        <f>A2.3.1!H10/A2.3.1!H$38</f>
        <v>#DIV/0!</v>
      </c>
      <c r="I10" s="58">
        <f>A2.3.1!I10/A2.3.1!I$38</f>
        <v>2.9515298753955816E-3</v>
      </c>
      <c r="J10" s="62">
        <f>A2.3.1!J10/A2.3.1!J$38</f>
        <v>1.9090334231355568E-3</v>
      </c>
      <c r="K10" s="58">
        <f>A2.3.1!K10/A2.3.1!K$38</f>
        <v>0</v>
      </c>
      <c r="L10" s="58">
        <f>A2.3.1!L10/A2.3.1!L$38</f>
        <v>3.2980882928167841E-3</v>
      </c>
      <c r="M10" s="62">
        <f>A2.3.1!M10/A2.3.1!M$38</f>
        <v>1.8137427885869743E-3</v>
      </c>
      <c r="N10" s="58">
        <f>A2.3.1!N10/A2.3.1!N$38</f>
        <v>0</v>
      </c>
      <c r="O10" s="59">
        <f>A2.3.1!O10/A2.3.1!O$38</f>
        <v>2.9515298753955807E-3</v>
      </c>
      <c r="P10" s="6"/>
      <c r="Q10" s="6"/>
      <c r="R10" s="6"/>
    </row>
    <row r="11" spans="1:18" s="1" customFormat="1" ht="13.35" customHeight="1">
      <c r="A11" s="26"/>
      <c r="B11" s="16" t="s">
        <v>6</v>
      </c>
      <c r="C11" s="16"/>
      <c r="D11" s="62">
        <f>A2.3.1!D11/A2.3.1!D$38</f>
        <v>2.7068834225279979E-2</v>
      </c>
      <c r="E11" s="58" t="e">
        <f>A2.3.1!E11/A2.3.1!E$38</f>
        <v>#DIV/0!</v>
      </c>
      <c r="F11" s="58">
        <f>A2.3.1!F11/A2.3.1!F$38</f>
        <v>3.2065954166101585E-2</v>
      </c>
      <c r="G11" s="62">
        <f>A2.3.1!G11/A2.3.1!G$38</f>
        <v>2.7068834225279989E-2</v>
      </c>
      <c r="H11" s="58" t="e">
        <f>A2.3.1!H11/A2.3.1!H$38</f>
        <v>#DIV/0!</v>
      </c>
      <c r="I11" s="58">
        <f>A2.3.1!I11/A2.3.1!I$38</f>
        <v>3.2065954166101598E-2</v>
      </c>
      <c r="J11" s="62">
        <f>A2.3.1!J11/A2.3.1!J$38</f>
        <v>2.4949836613175777E-2</v>
      </c>
      <c r="K11" s="58">
        <f>A2.3.1!K11/A2.3.1!K$38</f>
        <v>0</v>
      </c>
      <c r="L11" s="58">
        <f>A2.3.1!L11/A2.3.1!L$38</f>
        <v>3.2279680953079287E-2</v>
      </c>
      <c r="M11" s="62">
        <f>A2.3.1!M11/A2.3.1!M$38</f>
        <v>2.7068834225279989E-2</v>
      </c>
      <c r="N11" s="58">
        <f>A2.3.1!N11/A2.3.1!N$38</f>
        <v>0</v>
      </c>
      <c r="O11" s="59">
        <f>A2.3.1!O11/A2.3.1!O$38</f>
        <v>3.2065954166101591E-2</v>
      </c>
    </row>
    <row r="12" spans="1:18" s="1" customFormat="1" ht="13.35" customHeight="1">
      <c r="A12" s="26"/>
      <c r="B12" s="16" t="s">
        <v>121</v>
      </c>
      <c r="C12" s="16"/>
      <c r="D12" s="62">
        <f>A2.3.1!D12/A2.3.1!D$38</f>
        <v>3.0785426025031096E-2</v>
      </c>
      <c r="E12" s="58" t="e">
        <f>A2.3.1!E12/A2.3.1!E$38</f>
        <v>#DIV/0!</v>
      </c>
      <c r="F12" s="58">
        <f>A2.3.1!F12/A2.3.1!F$38</f>
        <v>2.5648958998574039E-2</v>
      </c>
      <c r="G12" s="62">
        <f>A2.3.1!G12/A2.3.1!G$38</f>
        <v>3.0785426025031114E-2</v>
      </c>
      <c r="H12" s="58" t="e">
        <f>A2.3.1!H12/A2.3.1!H$38</f>
        <v>#DIV/0!</v>
      </c>
      <c r="I12" s="58">
        <f>A2.3.1!I12/A2.3.1!I$38</f>
        <v>2.5648958998574046E-2</v>
      </c>
      <c r="J12" s="62">
        <f>A2.3.1!J12/A2.3.1!J$38</f>
        <v>2.9566024265577261E-2</v>
      </c>
      <c r="K12" s="58">
        <f>A2.3.1!K12/A2.3.1!K$38</f>
        <v>0</v>
      </c>
      <c r="L12" s="58">
        <f>A2.3.1!L12/A2.3.1!L$38</f>
        <v>2.5414562641753388E-2</v>
      </c>
      <c r="M12" s="62">
        <f>A2.3.1!M12/A2.3.1!M$38</f>
        <v>3.078542602503111E-2</v>
      </c>
      <c r="N12" s="58">
        <f>A2.3.1!N12/A2.3.1!N$38</f>
        <v>0</v>
      </c>
      <c r="O12" s="59">
        <f>A2.3.1!O12/A2.3.1!O$38</f>
        <v>2.5648958998574046E-2</v>
      </c>
    </row>
    <row r="13" spans="1:18" s="1" customFormat="1" ht="13.35" customHeight="1">
      <c r="A13" s="26"/>
      <c r="B13" s="27" t="s">
        <v>142</v>
      </c>
      <c r="C13" s="27"/>
      <c r="D13" s="62">
        <f>A2.3.1!D13/A2.3.1!D$38</f>
        <v>7.4433545330966563E-3</v>
      </c>
      <c r="E13" s="58" t="e">
        <f>A2.3.1!E13/A2.3.1!E$38</f>
        <v>#DIV/0!</v>
      </c>
      <c r="F13" s="58">
        <f>A2.3.1!F13/A2.3.1!F$38</f>
        <v>1.1245042547520637E-2</v>
      </c>
      <c r="G13" s="62">
        <f>A2.3.1!G13/A2.3.1!G$38</f>
        <v>7.4433545330966598E-3</v>
      </c>
      <c r="H13" s="58" t="e">
        <f>A2.3.1!H13/A2.3.1!H$38</f>
        <v>#DIV/0!</v>
      </c>
      <c r="I13" s="58">
        <f>A2.3.1!I13/A2.3.1!I$38</f>
        <v>1.1245042547520642E-2</v>
      </c>
      <c r="J13" s="62">
        <f>A2.3.1!J13/A2.3.1!J$38</f>
        <v>7.2552867596360707E-3</v>
      </c>
      <c r="K13" s="58">
        <f>A2.3.1!K13/A2.3.1!K$38</f>
        <v>0</v>
      </c>
      <c r="L13" s="58">
        <f>A2.3.1!L13/A2.3.1!L$38</f>
        <v>1.0485568893806411E-2</v>
      </c>
      <c r="M13" s="62">
        <f>A2.3.1!M13/A2.3.1!M$38</f>
        <v>7.4433545330966598E-3</v>
      </c>
      <c r="N13" s="58">
        <f>A2.3.1!N13/A2.3.1!N$38</f>
        <v>0</v>
      </c>
      <c r="O13" s="59">
        <f>A2.3.1!O13/A2.3.1!O$38</f>
        <v>1.124504254752064E-2</v>
      </c>
    </row>
    <row r="14" spans="1:18" s="1" customFormat="1" ht="13.35" customHeight="1">
      <c r="A14" s="26"/>
      <c r="B14" s="27" t="s">
        <v>143</v>
      </c>
      <c r="C14" s="27"/>
      <c r="D14" s="62">
        <f>A2.3.1!D14/A2.3.1!D$38</f>
        <v>0.26955317762076203</v>
      </c>
      <c r="E14" s="58" t="e">
        <f>A2.3.1!E14/A2.3.1!E$38</f>
        <v>#DIV/0!</v>
      </c>
      <c r="F14" s="58">
        <f>A2.3.1!F14/A2.3.1!F$38</f>
        <v>0.32469893081085027</v>
      </c>
      <c r="G14" s="62">
        <f>A2.3.1!G14/A2.3.1!G$38</f>
        <v>0.26955317762076214</v>
      </c>
      <c r="H14" s="58" t="e">
        <f>A2.3.1!H14/A2.3.1!H$38</f>
        <v>#DIV/0!</v>
      </c>
      <c r="I14" s="58">
        <f>A2.3.1!I14/A2.3.1!I$38</f>
        <v>0.32469893081085044</v>
      </c>
      <c r="J14" s="62">
        <f>A2.3.1!J14/A2.3.1!J$38</f>
        <v>0.26154783086295419</v>
      </c>
      <c r="K14" s="58">
        <f>A2.3.1!K14/A2.3.1!K$38</f>
        <v>0</v>
      </c>
      <c r="L14" s="58">
        <f>A2.3.1!L14/A2.3.1!L$38</f>
        <v>0.31560590622594814</v>
      </c>
      <c r="M14" s="62">
        <f>A2.3.1!M14/A2.3.1!M$38</f>
        <v>0.26955317762076214</v>
      </c>
      <c r="N14" s="58">
        <f>A2.3.1!N14/A2.3.1!N$38</f>
        <v>0</v>
      </c>
      <c r="O14" s="59">
        <f>A2.3.1!O14/A2.3.1!O$38</f>
        <v>0.32469893081085038</v>
      </c>
      <c r="Q14" s="98">
        <f>AVERAGE(D14,G14,J14,M14)</f>
        <v>0.26755184093131013</v>
      </c>
      <c r="R14" s="98">
        <f>AVERAGE(F14,I14,L14,O14)</f>
        <v>0.3224256746646248</v>
      </c>
    </row>
    <row r="15" spans="1:18" customFormat="1" ht="13.35" customHeight="1">
      <c r="A15" s="26"/>
      <c r="B15" s="27" t="s">
        <v>122</v>
      </c>
      <c r="C15" s="27"/>
      <c r="D15" s="62">
        <f>A2.3.1!D15/A2.3.1!D$38</f>
        <v>5.9265587840162427E-3</v>
      </c>
      <c r="E15" s="58" t="e">
        <f>A2.3.1!E15/A2.3.1!E$38</f>
        <v>#DIV/0!</v>
      </c>
      <c r="F15" s="58">
        <f>A2.3.1!F15/A2.3.1!F$38</f>
        <v>7.362278695866066E-3</v>
      </c>
      <c r="G15" s="62">
        <f>A2.3.1!G15/A2.3.1!G$38</f>
        <v>5.9265587840162453E-3</v>
      </c>
      <c r="H15" s="58" t="e">
        <f>A2.3.1!H15/A2.3.1!H$38</f>
        <v>#DIV/0!</v>
      </c>
      <c r="I15" s="58">
        <f>A2.3.1!I15/A2.3.1!I$38</f>
        <v>7.3622786958660704E-3</v>
      </c>
      <c r="J15" s="62">
        <f>A2.3.1!J15/A2.3.1!J$38</f>
        <v>5.4136540823584763E-3</v>
      </c>
      <c r="K15" s="58">
        <f>A2.3.1!K15/A2.3.1!K$38</f>
        <v>0</v>
      </c>
      <c r="L15" s="58">
        <f>A2.3.1!L15/A2.3.1!L$38</f>
        <v>6.9868037250085382E-3</v>
      </c>
      <c r="M15" s="62">
        <f>A2.3.1!M15/A2.3.1!M$38</f>
        <v>5.9265587840162453E-3</v>
      </c>
      <c r="N15" s="58">
        <f>A2.3.1!N15/A2.3.1!N$38</f>
        <v>0</v>
      </c>
      <c r="O15" s="59">
        <f>A2.3.1!O15/A2.3.1!O$38</f>
        <v>7.3622786958660695E-3</v>
      </c>
      <c r="P15" s="1"/>
      <c r="Q15" s="1"/>
      <c r="R15" s="1"/>
    </row>
    <row r="16" spans="1:18" customFormat="1" ht="13.35" customHeight="1">
      <c r="A16" s="26"/>
      <c r="B16" s="27" t="s">
        <v>144</v>
      </c>
      <c r="C16" s="27"/>
      <c r="D16" s="62">
        <f>A2.3.1!D16/A2.3.1!D$38</f>
        <v>3.1308786890639451E-4</v>
      </c>
      <c r="E16" s="58" t="e">
        <f>A2.3.1!E16/A2.3.1!E$38</f>
        <v>#DIV/0!</v>
      </c>
      <c r="F16" s="58">
        <f>A2.3.1!F16/A2.3.1!F$38</f>
        <v>1.895879102537157E-4</v>
      </c>
      <c r="G16" s="62">
        <f>A2.3.1!G16/A2.3.1!G$38</f>
        <v>3.1308786890639468E-4</v>
      </c>
      <c r="H16" s="58" t="e">
        <f>A2.3.1!H16/A2.3.1!H$38</f>
        <v>#DIV/0!</v>
      </c>
      <c r="I16" s="58">
        <f>A2.3.1!I16/A2.3.1!I$38</f>
        <v>1.8958791025371581E-4</v>
      </c>
      <c r="J16" s="62">
        <f>A2.3.1!J16/A2.3.1!J$38</f>
        <v>1.8497033167492598E-4</v>
      </c>
      <c r="K16" s="58">
        <f>A2.3.1!K16/A2.3.1!K$38</f>
        <v>0</v>
      </c>
      <c r="L16" s="58">
        <f>A2.3.1!L16/A2.3.1!L$38</f>
        <v>1.7158334499109033E-4</v>
      </c>
      <c r="M16" s="62">
        <f>A2.3.1!M16/A2.3.1!M$38</f>
        <v>3.1308786890639468E-4</v>
      </c>
      <c r="N16" s="58">
        <f>A2.3.1!N16/A2.3.1!N$38</f>
        <v>0</v>
      </c>
      <c r="O16" s="59">
        <f>A2.3.1!O16/A2.3.1!O$38</f>
        <v>1.8958791025371573E-4</v>
      </c>
      <c r="P16" s="1"/>
      <c r="Q16" s="1"/>
      <c r="R16" s="1"/>
    </row>
    <row r="17" spans="1:18" customFormat="1" ht="13.35" customHeight="1">
      <c r="A17" s="26"/>
      <c r="B17" s="27" t="s">
        <v>123</v>
      </c>
      <c r="C17" s="27"/>
      <c r="D17" s="62">
        <f>A2.3.1!D17/A2.3.1!D$38</f>
        <v>0.15166498182940596</v>
      </c>
      <c r="E17" s="58" t="e">
        <f>A2.3.1!E17/A2.3.1!E$38</f>
        <v>#DIV/0!</v>
      </c>
      <c r="F17" s="58">
        <f>A2.3.1!F17/A2.3.1!F$38</f>
        <v>9.4996382809774696E-2</v>
      </c>
      <c r="G17" s="62">
        <f>A2.3.1!G17/A2.3.1!G$38</f>
        <v>0.15166498182940602</v>
      </c>
      <c r="H17" s="58" t="e">
        <f>A2.3.1!H17/A2.3.1!H$38</f>
        <v>#DIV/0!</v>
      </c>
      <c r="I17" s="58">
        <f>A2.3.1!I17/A2.3.1!I$38</f>
        <v>9.4996382809774738E-2</v>
      </c>
      <c r="J17" s="62">
        <f>A2.3.1!J17/A2.3.1!J$38</f>
        <v>0.1317806731742196</v>
      </c>
      <c r="K17" s="58">
        <f>A2.3.1!K17/A2.3.1!K$38</f>
        <v>0</v>
      </c>
      <c r="L17" s="58">
        <f>A2.3.1!L17/A2.3.1!L$38</f>
        <v>8.1981057303755794E-2</v>
      </c>
      <c r="M17" s="62">
        <f>A2.3.1!M17/A2.3.1!M$38</f>
        <v>0.15166498182940602</v>
      </c>
      <c r="N17" s="58">
        <f>A2.3.1!N17/A2.3.1!N$38</f>
        <v>0</v>
      </c>
      <c r="O17" s="59">
        <f>A2.3.1!O17/A2.3.1!O$38</f>
        <v>9.4996382809774738E-2</v>
      </c>
      <c r="P17" s="1"/>
      <c r="Q17" s="1"/>
      <c r="R17" s="1"/>
    </row>
    <row r="18" spans="1:18" customFormat="1" ht="13.35" customHeight="1">
      <c r="A18" s="26"/>
      <c r="B18" s="27" t="s">
        <v>124</v>
      </c>
      <c r="C18" s="27"/>
      <c r="D18" s="62">
        <f>A2.3.1!D18/A2.3.1!D$38</f>
        <v>9.2263634136483287E-3</v>
      </c>
      <c r="E18" s="58" t="e">
        <f>A2.3.1!E18/A2.3.1!E$38</f>
        <v>#DIV/0!</v>
      </c>
      <c r="F18" s="58">
        <f>A2.3.1!F18/A2.3.1!F$38</f>
        <v>1.2620524206150781E-2</v>
      </c>
      <c r="G18" s="62">
        <f>A2.3.1!G18/A2.3.1!G$38</f>
        <v>9.2263634136483322E-3</v>
      </c>
      <c r="H18" s="58" t="e">
        <f>A2.3.1!H18/A2.3.1!H$38</f>
        <v>#DIV/0!</v>
      </c>
      <c r="I18" s="58">
        <f>A2.3.1!I18/A2.3.1!I$38</f>
        <v>1.2620524206150787E-2</v>
      </c>
      <c r="J18" s="62">
        <f>A2.3.1!J18/A2.3.1!J$38</f>
        <v>8.2652073205498767E-3</v>
      </c>
      <c r="K18" s="58">
        <f>A2.3.1!K18/A2.3.1!K$38</f>
        <v>0</v>
      </c>
      <c r="L18" s="58">
        <f>A2.3.1!L18/A2.3.1!L$38</f>
        <v>1.2032430316779624E-2</v>
      </c>
      <c r="M18" s="62">
        <f>A2.3.1!M18/A2.3.1!M$38</f>
        <v>9.2263634136483322E-3</v>
      </c>
      <c r="N18" s="58">
        <f>A2.3.1!N18/A2.3.1!N$38</f>
        <v>0</v>
      </c>
      <c r="O18" s="59">
        <f>A2.3.1!O18/A2.3.1!O$38</f>
        <v>1.2620524206150785E-2</v>
      </c>
      <c r="P18" s="1"/>
      <c r="Q18" s="1"/>
      <c r="R18" s="1"/>
    </row>
    <row r="19" spans="1:18" customFormat="1" ht="13.35" customHeight="1">
      <c r="A19" s="26"/>
      <c r="B19" s="27" t="s">
        <v>145</v>
      </c>
      <c r="C19" s="27"/>
      <c r="D19" s="62">
        <f>A2.3.1!D19/A2.3.1!D$38</f>
        <v>1.2826210584315708E-2</v>
      </c>
      <c r="E19" s="58" t="e">
        <f>A2.3.1!E19/A2.3.1!E$38</f>
        <v>#DIV/0!</v>
      </c>
      <c r="F19" s="58">
        <f>A2.3.1!F19/A2.3.1!F$38</f>
        <v>1.6217775339591272E-2</v>
      </c>
      <c r="G19" s="62">
        <f>A2.3.1!G19/A2.3.1!G$38</f>
        <v>1.2826210584315713E-2</v>
      </c>
      <c r="H19" s="58" t="e">
        <f>A2.3.1!H19/A2.3.1!H$38</f>
        <v>#DIV/0!</v>
      </c>
      <c r="I19" s="58">
        <f>A2.3.1!I19/A2.3.1!I$38</f>
        <v>1.6217775339591279E-2</v>
      </c>
      <c r="J19" s="62">
        <f>A2.3.1!J19/A2.3.1!J$38</f>
        <v>1.1640043372052771E-2</v>
      </c>
      <c r="K19" s="58">
        <f>A2.3.1!K19/A2.3.1!K$38</f>
        <v>0</v>
      </c>
      <c r="L19" s="58">
        <f>A2.3.1!L19/A2.3.1!L$38</f>
        <v>1.5331147264582101E-2</v>
      </c>
      <c r="M19" s="62">
        <f>A2.3.1!M19/A2.3.1!M$38</f>
        <v>1.2826210584315713E-2</v>
      </c>
      <c r="N19" s="58">
        <f>A2.3.1!N19/A2.3.1!N$38</f>
        <v>0</v>
      </c>
      <c r="O19" s="59">
        <f>A2.3.1!O19/A2.3.1!O$38</f>
        <v>1.6217775339591279E-2</v>
      </c>
      <c r="P19" s="1"/>
      <c r="Q19" s="1"/>
      <c r="R19" s="1"/>
    </row>
    <row r="20" spans="1:18" customFormat="1" ht="13.35" customHeight="1">
      <c r="A20" s="26"/>
      <c r="B20" s="27" t="s">
        <v>365</v>
      </c>
      <c r="C20" s="27"/>
      <c r="D20" s="62">
        <f>A2.3.1!D20/A2.3.1!D$38</f>
        <v>1.1135624535121997E-2</v>
      </c>
      <c r="E20" s="58" t="e">
        <f>A2.3.1!E20/A2.3.1!E$38</f>
        <v>#DIV/0!</v>
      </c>
      <c r="F20" s="58">
        <f>A2.3.1!F20/A2.3.1!F$38</f>
        <v>1.2568392038470749E-2</v>
      </c>
      <c r="G20" s="62">
        <f>A2.3.1!G20/A2.3.1!G$38</f>
        <v>1.1135624535122002E-2</v>
      </c>
      <c r="H20" s="58" t="e">
        <f>A2.3.1!H20/A2.3.1!H$38</f>
        <v>#DIV/0!</v>
      </c>
      <c r="I20" s="58">
        <f>A2.3.1!I20/A2.3.1!I$38</f>
        <v>1.2568392038470754E-2</v>
      </c>
      <c r="J20" s="62">
        <f>A2.3.1!J20/A2.3.1!J$38</f>
        <v>9.5933728271166505E-3</v>
      </c>
      <c r="K20" s="58">
        <f>A2.3.1!K20/A2.3.1!K$38</f>
        <v>0</v>
      </c>
      <c r="L20" s="58">
        <f>A2.3.1!L20/A2.3.1!L$38</f>
        <v>1.2079847154691284E-2</v>
      </c>
      <c r="M20" s="62">
        <f>A2.3.1!M20/A2.3.1!M$38</f>
        <v>1.1135624535122002E-2</v>
      </c>
      <c r="N20" s="58">
        <f>A2.3.1!N20/A2.3.1!N$38</f>
        <v>0</v>
      </c>
      <c r="O20" s="59">
        <f>A2.3.1!O20/A2.3.1!O$38</f>
        <v>1.2568392038470756E-2</v>
      </c>
      <c r="P20" s="1"/>
      <c r="Q20" s="1"/>
      <c r="R20" s="1"/>
    </row>
    <row r="21" spans="1:18" customFormat="1" ht="13.35" customHeight="1">
      <c r="A21" s="26"/>
      <c r="B21" s="27" t="s">
        <v>125</v>
      </c>
      <c r="C21" s="27"/>
      <c r="D21" s="62">
        <f>A2.3.1!D21/A2.3.1!D$38</f>
        <v>2.946784791005002E-2</v>
      </c>
      <c r="E21" s="58" t="e">
        <f>A2.3.1!E21/A2.3.1!E$38</f>
        <v>#DIV/0!</v>
      </c>
      <c r="F21" s="58">
        <f>A2.3.1!F21/A2.3.1!F$38</f>
        <v>4.7257482460059536E-2</v>
      </c>
      <c r="G21" s="62">
        <f>A2.3.1!G21/A2.3.1!G$38</f>
        <v>2.9467847910050034E-2</v>
      </c>
      <c r="H21" s="58" t="e">
        <f>A2.3.1!H21/A2.3.1!H$38</f>
        <v>#DIV/0!</v>
      </c>
      <c r="I21" s="58">
        <f>A2.3.1!I21/A2.3.1!I$38</f>
        <v>4.7257482460059556E-2</v>
      </c>
      <c r="J21" s="62">
        <f>A2.3.1!J21/A2.3.1!J$38</f>
        <v>2.7325003997147792E-2</v>
      </c>
      <c r="K21" s="58">
        <f>A2.3.1!K21/A2.3.1!K$38</f>
        <v>0</v>
      </c>
      <c r="L21" s="58">
        <f>A2.3.1!L21/A2.3.1!L$38</f>
        <v>4.2278626408702939E-2</v>
      </c>
      <c r="M21" s="62">
        <f>A2.3.1!M21/A2.3.1!M$38</f>
        <v>2.9467847910050034E-2</v>
      </c>
      <c r="N21" s="58">
        <f>A2.3.1!N21/A2.3.1!N$38</f>
        <v>0</v>
      </c>
      <c r="O21" s="59">
        <f>A2.3.1!O21/A2.3.1!O$38</f>
        <v>4.7257482460059549E-2</v>
      </c>
      <c r="P21" s="1"/>
      <c r="Q21" s="1"/>
      <c r="R21" s="1"/>
    </row>
    <row r="22" spans="1:18" customFormat="1" ht="13.35" customHeight="1">
      <c r="A22" s="26"/>
      <c r="B22" s="27" t="s">
        <v>126</v>
      </c>
      <c r="C22" s="27"/>
      <c r="D22" s="62">
        <f>A2.3.1!D22/A2.3.1!D$38</f>
        <v>3.2580153589941551E-3</v>
      </c>
      <c r="E22" s="58" t="e">
        <f>A2.3.1!E22/A2.3.1!E$38</f>
        <v>#DIV/0!</v>
      </c>
      <c r="F22" s="58">
        <f>A2.3.1!F22/A2.3.1!F$38</f>
        <v>2.9793078330391702E-3</v>
      </c>
      <c r="G22" s="62">
        <f>A2.3.1!G22/A2.3.1!G$38</f>
        <v>3.2580153589941564E-3</v>
      </c>
      <c r="H22" s="58" t="e">
        <f>A2.3.1!H22/A2.3.1!H$38</f>
        <v>#DIV/0!</v>
      </c>
      <c r="I22" s="58">
        <f>A2.3.1!I22/A2.3.1!I$38</f>
        <v>2.9793078330391715E-3</v>
      </c>
      <c r="J22" s="62">
        <f>A2.3.1!J22/A2.3.1!J$38</f>
        <v>3.2550852117746703E-3</v>
      </c>
      <c r="K22" s="58">
        <f>A2.3.1!K22/A2.3.1!K$38</f>
        <v>0</v>
      </c>
      <c r="L22" s="58">
        <f>A2.3.1!L22/A2.3.1!L$38</f>
        <v>3.0909443407764747E-3</v>
      </c>
      <c r="M22" s="62">
        <f>A2.3.1!M22/A2.3.1!M$38</f>
        <v>3.2580153589941564E-3</v>
      </c>
      <c r="N22" s="58">
        <f>A2.3.1!N22/A2.3.1!N$38</f>
        <v>0</v>
      </c>
      <c r="O22" s="59">
        <f>A2.3.1!O22/A2.3.1!O$38</f>
        <v>2.9793078330391711E-3</v>
      </c>
      <c r="P22" s="1"/>
      <c r="Q22" s="1"/>
      <c r="R22" s="1"/>
    </row>
    <row r="23" spans="1:18" customFormat="1" ht="13.35" customHeight="1">
      <c r="A23" s="26"/>
      <c r="B23" s="27" t="s">
        <v>127</v>
      </c>
      <c r="C23" s="27"/>
      <c r="D23" s="62">
        <f>A2.3.1!D23/A2.3.1!D$38</f>
        <v>5.2669958511435203E-3</v>
      </c>
      <c r="E23" s="58" t="e">
        <f>A2.3.1!E23/A2.3.1!E$38</f>
        <v>#DIV/0!</v>
      </c>
      <c r="F23" s="58">
        <f>A2.3.1!F23/A2.3.1!F$38</f>
        <v>5.8168324411339688E-3</v>
      </c>
      <c r="G23" s="62">
        <f>A2.3.1!G23/A2.3.1!G$38</f>
        <v>5.2669958511435229E-3</v>
      </c>
      <c r="H23" s="58" t="e">
        <f>A2.3.1!H23/A2.3.1!H$38</f>
        <v>#DIV/0!</v>
      </c>
      <c r="I23" s="58">
        <f>A2.3.1!I23/A2.3.1!I$38</f>
        <v>5.8168324411339723E-3</v>
      </c>
      <c r="J23" s="62">
        <f>A2.3.1!J23/A2.3.1!J$38</f>
        <v>4.9551545102114311E-3</v>
      </c>
      <c r="K23" s="58">
        <f>A2.3.1!K23/A2.3.1!K$38</f>
        <v>0</v>
      </c>
      <c r="L23" s="58">
        <f>A2.3.1!L23/A2.3.1!L$38</f>
        <v>5.6563394283228258E-3</v>
      </c>
      <c r="M23" s="62">
        <f>A2.3.1!M23/A2.3.1!M$38</f>
        <v>5.2669958511435229E-3</v>
      </c>
      <c r="N23" s="58">
        <f>A2.3.1!N23/A2.3.1!N$38</f>
        <v>0</v>
      </c>
      <c r="O23" s="59">
        <f>A2.3.1!O23/A2.3.1!O$38</f>
        <v>5.8168324411339706E-3</v>
      </c>
      <c r="P23" s="1"/>
      <c r="Q23" s="1"/>
      <c r="R23" s="1"/>
    </row>
    <row r="24" spans="1:18" customFormat="1" ht="13.35" customHeight="1">
      <c r="A24" s="26"/>
      <c r="B24" s="27" t="s">
        <v>128</v>
      </c>
      <c r="C24" s="27"/>
      <c r="D24" s="62">
        <f>A2.3.1!D24/A2.3.1!D$38</f>
        <v>2.7970067384646123E-3</v>
      </c>
      <c r="E24" s="58" t="e">
        <f>A2.3.1!E24/A2.3.1!E$38</f>
        <v>#DIV/0!</v>
      </c>
      <c r="F24" s="58">
        <f>A2.3.1!F24/A2.3.1!F$38</f>
        <v>1.2466811991940618E-3</v>
      </c>
      <c r="G24" s="62">
        <f>A2.3.1!G24/A2.3.1!G$38</f>
        <v>2.7970067384646136E-3</v>
      </c>
      <c r="H24" s="58" t="e">
        <f>A2.3.1!H24/A2.3.1!H$38</f>
        <v>#DIV/0!</v>
      </c>
      <c r="I24" s="58">
        <f>A2.3.1!I24/A2.3.1!I$38</f>
        <v>1.2466811991940622E-3</v>
      </c>
      <c r="J24" s="62">
        <f>A2.3.1!J24/A2.3.1!J$38</f>
        <v>2.6039809192632858E-3</v>
      </c>
      <c r="K24" s="58">
        <f>A2.3.1!K24/A2.3.1!K$38</f>
        <v>0</v>
      </c>
      <c r="L24" s="58">
        <f>A2.3.1!L24/A2.3.1!L$38</f>
        <v>1.1811539120588882E-3</v>
      </c>
      <c r="M24" s="62">
        <f>A2.3.1!M24/A2.3.1!M$38</f>
        <v>2.7970067384646136E-3</v>
      </c>
      <c r="N24" s="58">
        <f>A2.3.1!N24/A2.3.1!N$38</f>
        <v>0</v>
      </c>
      <c r="O24" s="59">
        <f>A2.3.1!O24/A2.3.1!O$38</f>
        <v>1.2466811991940622E-3</v>
      </c>
      <c r="P24" s="1"/>
      <c r="Q24" s="1"/>
      <c r="R24" s="1"/>
    </row>
    <row r="25" spans="1:18" customFormat="1" ht="13.35" customHeight="1">
      <c r="A25" s="26"/>
      <c r="B25" s="27" t="s">
        <v>146</v>
      </c>
      <c r="C25" s="27"/>
      <c r="D25" s="62">
        <f>A2.3.1!D25/A2.3.1!D$38</f>
        <v>5.2897698981049313E-3</v>
      </c>
      <c r="E25" s="58" t="e">
        <f>A2.3.1!E25/A2.3.1!E$38</f>
        <v>#DIV/0!</v>
      </c>
      <c r="F25" s="58">
        <f>A2.3.1!F25/A2.3.1!F$38</f>
        <v>5.4328381163720818E-3</v>
      </c>
      <c r="G25" s="62">
        <f>A2.3.1!G25/A2.3.1!G$38</f>
        <v>5.2897698981049339E-3</v>
      </c>
      <c r="H25" s="58" t="e">
        <f>A2.3.1!H25/A2.3.1!H$38</f>
        <v>#DIV/0!</v>
      </c>
      <c r="I25" s="58">
        <f>A2.3.1!I25/A2.3.1!I$38</f>
        <v>5.4328381163720844E-3</v>
      </c>
      <c r="J25" s="62">
        <f>A2.3.1!J25/A2.3.1!J$38</f>
        <v>4.571471947220635E-3</v>
      </c>
      <c r="K25" s="58">
        <f>A2.3.1!K25/A2.3.1!K$38</f>
        <v>0</v>
      </c>
      <c r="L25" s="58">
        <f>A2.3.1!L25/A2.3.1!L$38</f>
        <v>4.6639190674136839E-3</v>
      </c>
      <c r="M25" s="62">
        <f>A2.3.1!M25/A2.3.1!M$38</f>
        <v>5.2897698981049339E-3</v>
      </c>
      <c r="N25" s="58">
        <f>A2.3.1!N25/A2.3.1!N$38</f>
        <v>0</v>
      </c>
      <c r="O25" s="59">
        <f>A2.3.1!O25/A2.3.1!O$38</f>
        <v>5.4328381163720836E-3</v>
      </c>
      <c r="P25" s="1"/>
      <c r="Q25" s="1"/>
      <c r="R25" s="1"/>
    </row>
    <row r="26" spans="1:18" customFormat="1" ht="13.35" customHeight="1">
      <c r="A26" s="26"/>
      <c r="B26" s="27" t="s">
        <v>129</v>
      </c>
      <c r="C26" s="27"/>
      <c r="D26" s="62">
        <f>A2.3.1!D26/A2.3.1!D$38</f>
        <v>9.938770979761606E-4</v>
      </c>
      <c r="E26" s="58" t="e">
        <f>A2.3.1!E26/A2.3.1!E$38</f>
        <v>#DIV/0!</v>
      </c>
      <c r="F26" s="58">
        <f>A2.3.1!F26/A2.3.1!F$38</f>
        <v>1.1765928015995178E-3</v>
      </c>
      <c r="G26" s="62">
        <f>A2.3.1!G26/A2.3.1!G$38</f>
        <v>9.9387709797616104E-4</v>
      </c>
      <c r="H26" s="58" t="e">
        <f>A2.3.1!H26/A2.3.1!H$38</f>
        <v>#DIV/0!</v>
      </c>
      <c r="I26" s="58">
        <f>A2.3.1!I26/A2.3.1!I$38</f>
        <v>1.1765928015995185E-3</v>
      </c>
      <c r="J26" s="62">
        <f>A2.3.1!J26/A2.3.1!J$38</f>
        <v>9.9966866753087953E-4</v>
      </c>
      <c r="K26" s="58">
        <f>A2.3.1!K26/A2.3.1!K$38</f>
        <v>0</v>
      </c>
      <c r="L26" s="58">
        <f>A2.3.1!L26/A2.3.1!L$38</f>
        <v>1.1413919151687388E-3</v>
      </c>
      <c r="M26" s="62">
        <f>A2.3.1!M26/A2.3.1!M$38</f>
        <v>9.9387709797616104E-4</v>
      </c>
      <c r="N26" s="58">
        <f>A2.3.1!N26/A2.3.1!N$38</f>
        <v>0</v>
      </c>
      <c r="O26" s="59">
        <f>A2.3.1!O26/A2.3.1!O$38</f>
        <v>1.1765928015995183E-3</v>
      </c>
      <c r="P26" s="1"/>
      <c r="Q26" s="1"/>
      <c r="R26" s="1"/>
    </row>
    <row r="27" spans="1:18" customFormat="1" ht="13.35" customHeight="1">
      <c r="A27" s="26"/>
      <c r="B27" s="27" t="s">
        <v>130</v>
      </c>
      <c r="C27" s="27"/>
      <c r="D27" s="62">
        <f>A2.3.1!D27/A2.3.1!D$38</f>
        <v>9.7234788484380497E-2</v>
      </c>
      <c r="E27" s="58" t="e">
        <f>A2.3.1!E27/A2.3.1!E$38</f>
        <v>#DIV/0!</v>
      </c>
      <c r="F27" s="58">
        <f>A2.3.1!F27/A2.3.1!F$38</f>
        <v>5.4641680628412376E-2</v>
      </c>
      <c r="G27" s="62">
        <f>A2.3.1!G27/A2.3.1!G$38</f>
        <v>9.7234788484380538E-2</v>
      </c>
      <c r="H27" s="58" t="e">
        <f>A2.3.1!H27/A2.3.1!H$38</f>
        <v>#DIV/0!</v>
      </c>
      <c r="I27" s="58">
        <f>A2.3.1!I27/A2.3.1!I$38</f>
        <v>5.4641680628412397E-2</v>
      </c>
      <c r="J27" s="62">
        <f>A2.3.1!J27/A2.3.1!J$38</f>
        <v>0.14899905529893104</v>
      </c>
      <c r="K27" s="58">
        <f>A2.3.1!K27/A2.3.1!K$38</f>
        <v>0</v>
      </c>
      <c r="L27" s="58">
        <f>A2.3.1!L27/A2.3.1!L$38</f>
        <v>9.2303406218919262E-2</v>
      </c>
      <c r="M27" s="62">
        <f>A2.3.1!M27/A2.3.1!M$38</f>
        <v>9.7234788484380538E-2</v>
      </c>
      <c r="N27" s="58">
        <f>A2.3.1!N27/A2.3.1!N$38</f>
        <v>0</v>
      </c>
      <c r="O27" s="59">
        <f>A2.3.1!O27/A2.3.1!O$38</f>
        <v>5.464168062841239E-2</v>
      </c>
      <c r="P27" s="1"/>
      <c r="Q27" s="1"/>
      <c r="R27" s="1"/>
    </row>
    <row r="28" spans="1:18" customFormat="1" ht="13.35" customHeight="1">
      <c r="A28" s="26"/>
      <c r="B28" s="27" t="s">
        <v>131</v>
      </c>
      <c r="C28" s="27"/>
      <c r="D28" s="62">
        <f>A2.3.1!D28/A2.3.1!D$38</f>
        <v>4.9948128238668454E-4</v>
      </c>
      <c r="E28" s="58" t="e">
        <f>A2.3.1!E28/A2.3.1!E$38</f>
        <v>#DIV/0!</v>
      </c>
      <c r="F28" s="58">
        <f>A2.3.1!F28/A2.3.1!F$38</f>
        <v>7.684083122247164E-4</v>
      </c>
      <c r="G28" s="62">
        <f>A2.3.1!G28/A2.3.1!G$38</f>
        <v>4.9948128238668475E-4</v>
      </c>
      <c r="H28" s="58" t="e">
        <f>A2.3.1!H28/A2.3.1!H$38</f>
        <v>#DIV/0!</v>
      </c>
      <c r="I28" s="58">
        <f>A2.3.1!I28/A2.3.1!I$38</f>
        <v>7.6840831222471672E-4</v>
      </c>
      <c r="J28" s="62">
        <f>A2.3.1!J28/A2.3.1!J$38</f>
        <v>4.4672080102623634E-4</v>
      </c>
      <c r="K28" s="58">
        <f>A2.3.1!K28/A2.3.1!K$38</f>
        <v>0</v>
      </c>
      <c r="L28" s="58">
        <f>A2.3.1!L28/A2.3.1!L$38</f>
        <v>7.5246097393360275E-4</v>
      </c>
      <c r="M28" s="62">
        <f>A2.3.1!M28/A2.3.1!M$38</f>
        <v>4.9948128238668475E-4</v>
      </c>
      <c r="N28" s="58">
        <f>A2.3.1!N28/A2.3.1!N$38</f>
        <v>0</v>
      </c>
      <c r="O28" s="59">
        <f>A2.3.1!O28/A2.3.1!O$38</f>
        <v>7.6840831222471672E-4</v>
      </c>
      <c r="P28" s="1"/>
      <c r="Q28" s="1"/>
      <c r="R28" s="1"/>
    </row>
    <row r="29" spans="1:18" customFormat="1" ht="13.35" customHeight="1">
      <c r="A29" s="26"/>
      <c r="B29" s="27" t="s">
        <v>132</v>
      </c>
      <c r="C29" s="27"/>
      <c r="D29" s="62">
        <f>A2.3.1!D29/A2.3.1!D$38</f>
        <v>8.240446176746059E-3</v>
      </c>
      <c r="E29" s="58" t="e">
        <f>A2.3.1!E29/A2.3.1!E$38</f>
        <v>#DIV/0!</v>
      </c>
      <c r="F29" s="58">
        <f>A2.3.1!F29/A2.3.1!F$38</f>
        <v>6.8946323544637747E-3</v>
      </c>
      <c r="G29" s="62">
        <f>A2.3.1!G29/A2.3.1!G$38</f>
        <v>8.2404461767460625E-3</v>
      </c>
      <c r="H29" s="58" t="e">
        <f>A2.3.1!H29/A2.3.1!H$38</f>
        <v>#DIV/0!</v>
      </c>
      <c r="I29" s="58">
        <f>A2.3.1!I29/A2.3.1!I$38</f>
        <v>6.8946323544637773E-3</v>
      </c>
      <c r="J29" s="62">
        <f>A2.3.1!J29/A2.3.1!J$38</f>
        <v>7.5580448025190866E-3</v>
      </c>
      <c r="K29" s="58">
        <f>A2.3.1!K29/A2.3.1!K$38</f>
        <v>0</v>
      </c>
      <c r="L29" s="58">
        <f>A2.3.1!L29/A2.3.1!L$38</f>
        <v>6.4987756898947273E-3</v>
      </c>
      <c r="M29" s="62">
        <f>A2.3.1!M29/A2.3.1!M$38</f>
        <v>8.2404461767460625E-3</v>
      </c>
      <c r="N29" s="58">
        <f>A2.3.1!N29/A2.3.1!N$38</f>
        <v>0</v>
      </c>
      <c r="O29" s="59">
        <f>A2.3.1!O29/A2.3.1!O$38</f>
        <v>6.8946323544637764E-3</v>
      </c>
      <c r="P29" s="1"/>
      <c r="Q29" s="1"/>
      <c r="R29" s="1"/>
    </row>
    <row r="30" spans="1:18" customFormat="1" ht="13.35" customHeight="1">
      <c r="A30" s="26"/>
      <c r="B30" s="27" t="s">
        <v>138</v>
      </c>
      <c r="C30" s="27"/>
      <c r="D30" s="62">
        <f>A2.3.1!D30/A2.3.1!D$38</f>
        <v>3.9847948964908493E-3</v>
      </c>
      <c r="E30" s="58" t="e">
        <f>A2.3.1!E30/A2.3.1!E$38</f>
        <v>#DIV/0!</v>
      </c>
      <c r="F30" s="58">
        <f>A2.3.1!F30/A2.3.1!F$38</f>
        <v>3.8691345331933638E-3</v>
      </c>
      <c r="G30" s="62">
        <f>A2.3.1!G30/A2.3.1!G$38</f>
        <v>3.984794896490851E-3</v>
      </c>
      <c r="H30" s="58" t="e">
        <f>A2.3.1!H30/A2.3.1!H$38</f>
        <v>#DIV/0!</v>
      </c>
      <c r="I30" s="58">
        <f>A2.3.1!I30/A2.3.1!I$38</f>
        <v>3.8691345331933655E-3</v>
      </c>
      <c r="J30" s="62">
        <f>A2.3.1!J30/A2.3.1!J$38</f>
        <v>3.9731539993617653E-3</v>
      </c>
      <c r="K30" s="58">
        <f>A2.3.1!K30/A2.3.1!K$38</f>
        <v>0</v>
      </c>
      <c r="L30" s="58">
        <f>A2.3.1!L30/A2.3.1!L$38</f>
        <v>3.7491664096630591E-3</v>
      </c>
      <c r="M30" s="62">
        <f>A2.3.1!M30/A2.3.1!M$38</f>
        <v>3.984794896490851E-3</v>
      </c>
      <c r="N30" s="58">
        <f>A2.3.1!N30/A2.3.1!N$38</f>
        <v>0</v>
      </c>
      <c r="O30" s="59">
        <f>A2.3.1!O30/A2.3.1!O$38</f>
        <v>3.8691345331933651E-3</v>
      </c>
      <c r="P30" s="1"/>
      <c r="Q30" s="1"/>
      <c r="R30" s="1"/>
    </row>
    <row r="31" spans="1:18" customFormat="1" ht="13.35" customHeight="1">
      <c r="A31" s="26"/>
      <c r="B31" s="27" t="s">
        <v>8</v>
      </c>
      <c r="C31" s="27"/>
      <c r="D31" s="62">
        <f>A2.3.1!D31/A2.3.1!D$38</f>
        <v>1.1986224133768114E-3</v>
      </c>
      <c r="E31" s="58" t="e">
        <f>A2.3.1!E31/A2.3.1!E$38</f>
        <v>#DIV/0!</v>
      </c>
      <c r="F31" s="58">
        <f>A2.3.1!F31/A2.3.1!F$38</f>
        <v>1.0883278548779391E-3</v>
      </c>
      <c r="G31" s="62">
        <f>A2.3.1!G31/A2.3.1!G$38</f>
        <v>1.1986224133768118E-3</v>
      </c>
      <c r="H31" s="58" t="e">
        <f>A2.3.1!H31/A2.3.1!H$38</f>
        <v>#DIV/0!</v>
      </c>
      <c r="I31" s="58">
        <f>A2.3.1!I31/A2.3.1!I$38</f>
        <v>1.0883278548779395E-3</v>
      </c>
      <c r="J31" s="62">
        <f>A2.3.1!J31/A2.3.1!J$38</f>
        <v>1.2143040523989539E-3</v>
      </c>
      <c r="K31" s="58">
        <f>A2.3.1!K31/A2.3.1!K$38</f>
        <v>0</v>
      </c>
      <c r="L31" s="58">
        <f>A2.3.1!L31/A2.3.1!L$38</f>
        <v>1.0664458545633388E-3</v>
      </c>
      <c r="M31" s="62">
        <f>A2.3.1!M31/A2.3.1!M$38</f>
        <v>1.1986224133768118E-3</v>
      </c>
      <c r="N31" s="58">
        <f>A2.3.1!N31/A2.3.1!N$38</f>
        <v>0</v>
      </c>
      <c r="O31" s="59">
        <f>A2.3.1!O31/A2.3.1!O$38</f>
        <v>1.0883278548779395E-3</v>
      </c>
      <c r="P31" s="1"/>
      <c r="Q31" s="1"/>
      <c r="R31" s="1"/>
    </row>
    <row r="32" spans="1:18" customFormat="1" ht="13.35" customHeight="1">
      <c r="A32" s="26"/>
      <c r="B32" s="27" t="s">
        <v>133</v>
      </c>
      <c r="C32" s="27"/>
      <c r="D32" s="62">
        <f>A2.3.1!D32/A2.3.1!D$38</f>
        <v>1.536695401765143E-4</v>
      </c>
      <c r="E32" s="58" t="e">
        <f>A2.3.1!E32/A2.3.1!E$38</f>
        <v>#DIV/0!</v>
      </c>
      <c r="F32" s="58">
        <f>A2.3.1!F32/A2.3.1!F$38</f>
        <v>5.7704458542094013E-5</v>
      </c>
      <c r="G32" s="62">
        <f>A2.3.1!G32/A2.3.1!G$38</f>
        <v>1.5366954017651435E-4</v>
      </c>
      <c r="H32" s="58" t="e">
        <f>A2.3.1!H32/A2.3.1!H$38</f>
        <v>#DIV/0!</v>
      </c>
      <c r="I32" s="58">
        <f>A2.3.1!I32/A2.3.1!I$38</f>
        <v>5.7704458542094033E-5</v>
      </c>
      <c r="J32" s="62">
        <f>A2.3.1!J32/A2.3.1!J$38</f>
        <v>1.8148032541690851E-4</v>
      </c>
      <c r="K32" s="58">
        <f>A2.3.1!K32/A2.3.1!K$38</f>
        <v>0</v>
      </c>
      <c r="L32" s="58">
        <f>A2.3.1!L32/A2.3.1!L$38</f>
        <v>4.806534614757248E-5</v>
      </c>
      <c r="M32" s="62">
        <f>A2.3.1!M32/A2.3.1!M$38</f>
        <v>1.5366954017651435E-4</v>
      </c>
      <c r="N32" s="58">
        <f>A2.3.1!N32/A2.3.1!N$38</f>
        <v>0</v>
      </c>
      <c r="O32" s="59">
        <f>A2.3.1!O32/A2.3.1!O$38</f>
        <v>5.7704458542094033E-5</v>
      </c>
      <c r="P32" s="1"/>
      <c r="Q32" s="1"/>
      <c r="R32" s="1"/>
    </row>
    <row r="33" spans="1:18" customFormat="1" ht="13.35" customHeight="1">
      <c r="A33" s="26"/>
      <c r="B33" s="27" t="s">
        <v>134</v>
      </c>
      <c r="C33" s="27"/>
      <c r="D33" s="62">
        <f>A2.3.1!D33/A2.3.1!D$38</f>
        <v>3.1024885179003994E-2</v>
      </c>
      <c r="E33" s="58" t="e">
        <f>A2.3.1!E33/A2.3.1!E$38</f>
        <v>#DIV/0!</v>
      </c>
      <c r="F33" s="58">
        <f>A2.3.1!F33/A2.3.1!F$38</f>
        <v>3.3576668491884551E-2</v>
      </c>
      <c r="G33" s="62">
        <f>A2.3.1!G33/A2.3.1!G$38</f>
        <v>3.1024885179004012E-2</v>
      </c>
      <c r="H33" s="58" t="e">
        <f>A2.3.1!H33/A2.3.1!H$38</f>
        <v>#DIV/0!</v>
      </c>
      <c r="I33" s="58">
        <f>A2.3.1!I33/A2.3.1!I$38</f>
        <v>3.3576668491884558E-2</v>
      </c>
      <c r="J33" s="62">
        <f>A2.3.1!J33/A2.3.1!J$38</f>
        <v>2.5456541896761688E-2</v>
      </c>
      <c r="K33" s="58">
        <f>A2.3.1!K33/A2.3.1!K$38</f>
        <v>0</v>
      </c>
      <c r="L33" s="58">
        <f>A2.3.1!L33/A2.3.1!L$38</f>
        <v>2.8528703494282534E-2</v>
      </c>
      <c r="M33" s="62">
        <f>A2.3.1!M33/A2.3.1!M$38</f>
        <v>3.1024885179004008E-2</v>
      </c>
      <c r="N33" s="58">
        <f>A2.3.1!N33/A2.3.1!N$38</f>
        <v>0</v>
      </c>
      <c r="O33" s="59">
        <f>A2.3.1!O33/A2.3.1!O$38</f>
        <v>3.3576668491884558E-2</v>
      </c>
      <c r="P33" s="1"/>
      <c r="Q33" s="1"/>
      <c r="R33" s="1"/>
    </row>
    <row r="34" spans="1:18" customFormat="1" ht="13.35" customHeight="1">
      <c r="A34" s="26"/>
      <c r="B34" s="27" t="s">
        <v>147</v>
      </c>
      <c r="C34" s="27"/>
      <c r="D34" s="62">
        <f>A2.3.1!D34/A2.3.1!D$38</f>
        <v>1.0799762619254191E-2</v>
      </c>
      <c r="E34" s="58" t="e">
        <f>A2.3.1!E34/A2.3.1!E$38</f>
        <v>#DIV/0!</v>
      </c>
      <c r="F34" s="58">
        <f>A2.3.1!F34/A2.3.1!F$38</f>
        <v>1.0942378839928468E-2</v>
      </c>
      <c r="G34" s="62">
        <f>A2.3.1!G34/A2.3.1!G$38</f>
        <v>1.0799762619254196E-2</v>
      </c>
      <c r="H34" s="58" t="e">
        <f>A2.3.1!H34/A2.3.1!H$38</f>
        <v>#DIV/0!</v>
      </c>
      <c r="I34" s="58">
        <f>A2.3.1!I34/A2.3.1!I$38</f>
        <v>1.0942378839928473E-2</v>
      </c>
      <c r="J34" s="62">
        <f>A2.3.1!J34/A2.3.1!J$38</f>
        <v>1.0438826843121383E-2</v>
      </c>
      <c r="K34" s="58">
        <f>A2.3.1!K34/A2.3.1!K$38</f>
        <v>0</v>
      </c>
      <c r="L34" s="58">
        <f>A2.3.1!L34/A2.3.1!L$38</f>
        <v>1.0609875575620894E-2</v>
      </c>
      <c r="M34" s="62">
        <f>A2.3.1!M34/A2.3.1!M$38</f>
        <v>1.0799762619254196E-2</v>
      </c>
      <c r="N34" s="58">
        <f>A2.3.1!N34/A2.3.1!N$38</f>
        <v>0</v>
      </c>
      <c r="O34" s="59">
        <f>A2.3.1!O34/A2.3.1!O$38</f>
        <v>1.0942378839928471E-2</v>
      </c>
      <c r="P34" s="1"/>
      <c r="Q34" s="1"/>
      <c r="R34" s="1"/>
    </row>
    <row r="35" spans="1:18" customFormat="1" ht="13.35" customHeight="1">
      <c r="A35" s="26"/>
      <c r="B35" s="27" t="s">
        <v>135</v>
      </c>
      <c r="C35" s="27"/>
      <c r="D35" s="62">
        <f>A2.3.1!D35/A2.3.1!D$38</f>
        <v>1.9993844374102846E-2</v>
      </c>
      <c r="E35" s="58" t="e">
        <f>A2.3.1!E35/A2.3.1!E$38</f>
        <v>#DIV/0!</v>
      </c>
      <c r="F35" s="58">
        <f>A2.3.1!F35/A2.3.1!F$38</f>
        <v>2.396328897422963E-2</v>
      </c>
      <c r="G35" s="62">
        <f>A2.3.1!G35/A2.3.1!G$38</f>
        <v>1.9993844374102857E-2</v>
      </c>
      <c r="H35" s="58" t="e">
        <f>A2.3.1!H35/A2.3.1!H$38</f>
        <v>#DIV/0!</v>
      </c>
      <c r="I35" s="58">
        <f>A2.3.1!I35/A2.3.1!I$38</f>
        <v>2.3963288974229641E-2</v>
      </c>
      <c r="J35" s="62">
        <f>A2.3.1!J35/A2.3.1!J$38</f>
        <v>1.8567923919608577E-2</v>
      </c>
      <c r="K35" s="58">
        <f>A2.3.1!K35/A2.3.1!K$38</f>
        <v>0</v>
      </c>
      <c r="L35" s="58">
        <f>A2.3.1!L35/A2.3.1!L$38</f>
        <v>2.5016944865738956E-2</v>
      </c>
      <c r="M35" s="62">
        <f>A2.3.1!M35/A2.3.1!M$38</f>
        <v>1.9993844374102857E-2</v>
      </c>
      <c r="N35" s="58">
        <f>A2.3.1!N35/A2.3.1!N$38</f>
        <v>0</v>
      </c>
      <c r="O35" s="59">
        <f>A2.3.1!O35/A2.3.1!O$38</f>
        <v>2.3963288974229641E-2</v>
      </c>
      <c r="P35" s="1"/>
      <c r="Q35" s="1"/>
      <c r="R35" s="1"/>
    </row>
    <row r="36" spans="1:18" customFormat="1" ht="13.35" customHeight="1">
      <c r="A36" s="26"/>
      <c r="B36" s="27" t="s">
        <v>148</v>
      </c>
      <c r="C36" s="27"/>
      <c r="D36" s="62">
        <f>A2.3.1!D36/A2.3.1!D$38</f>
        <v>3.0574710813825027E-3</v>
      </c>
      <c r="E36" s="58" t="e">
        <f>A2.3.1!E36/A2.3.1!E$38</f>
        <v>#DIV/0!</v>
      </c>
      <c r="F36" s="58">
        <f>A2.3.1!F36/A2.3.1!F$38</f>
        <v>2.0066777135642803E-3</v>
      </c>
      <c r="G36" s="62">
        <f>A2.3.1!G36/A2.3.1!G$38</f>
        <v>3.057471081382504E-3</v>
      </c>
      <c r="H36" s="58" t="e">
        <f>A2.3.1!H36/A2.3.1!H$38</f>
        <v>#DIV/0!</v>
      </c>
      <c r="I36" s="58">
        <f>A2.3.1!I36/A2.3.1!I$38</f>
        <v>2.0066777135642816E-3</v>
      </c>
      <c r="J36" s="62">
        <f>A2.3.1!J36/A2.3.1!J$38</f>
        <v>1.6165272736354676E-3</v>
      </c>
      <c r="K36" s="58">
        <f>A2.3.1!K36/A2.3.1!K$38</f>
        <v>0</v>
      </c>
      <c r="L36" s="58">
        <f>A2.3.1!L36/A2.3.1!L$38</f>
        <v>1.4330610330932254E-3</v>
      </c>
      <c r="M36" s="62">
        <f>A2.3.1!M36/A2.3.1!M$38</f>
        <v>3.057471081382504E-3</v>
      </c>
      <c r="N36" s="58">
        <f>A2.3.1!N36/A2.3.1!N$38</f>
        <v>0</v>
      </c>
      <c r="O36" s="59">
        <f>A2.3.1!O36/A2.3.1!O$38</f>
        <v>2.0066777135642811E-3</v>
      </c>
      <c r="P36" s="1"/>
      <c r="Q36" s="1"/>
      <c r="R36" s="1"/>
    </row>
    <row r="37" spans="1:18" customFormat="1" ht="13.35" customHeight="1">
      <c r="A37" s="26"/>
      <c r="B37" s="27" t="s">
        <v>5</v>
      </c>
      <c r="C37" s="27"/>
      <c r="D37" s="62">
        <f>A2.3.1!D37/A2.3.1!D$38</f>
        <v>2.9178418517113246E-2</v>
      </c>
      <c r="E37" s="58" t="e">
        <f>A2.3.1!E37/A2.3.1!E$38</f>
        <v>#DIV/0!</v>
      </c>
      <c r="F37" s="58">
        <f>A2.3.1!F37/A2.3.1!F$38</f>
        <v>1.3732944428592474E-2</v>
      </c>
      <c r="G37" s="62">
        <f>A2.3.1!G37/A2.3.1!G$38</f>
        <v>2.9178418517113256E-2</v>
      </c>
      <c r="H37" s="58" t="e">
        <f>A2.3.1!H37/A2.3.1!H$38</f>
        <v>#DIV/0!</v>
      </c>
      <c r="I37" s="58">
        <f>A2.3.1!I37/A2.3.1!I$38</f>
        <v>1.373294442859248E-2</v>
      </c>
      <c r="J37" s="62">
        <f>A2.3.1!J37/A2.3.1!J$38</f>
        <v>3.4243505152885177E-2</v>
      </c>
      <c r="K37" s="58">
        <f>A2.3.1!K37/A2.3.1!K$38</f>
        <v>1</v>
      </c>
      <c r="L37" s="58">
        <f>A2.3.1!L37/A2.3.1!L$38</f>
        <v>1.7396352178407522E-2</v>
      </c>
      <c r="M37" s="62">
        <f>A2.3.1!M37/A2.3.1!M$38</f>
        <v>2.917841851711326E-2</v>
      </c>
      <c r="N37" s="58">
        <f>A2.3.1!N37/A2.3.1!N$38</f>
        <v>1</v>
      </c>
      <c r="O37" s="59">
        <f>A2.3.1!O37/A2.3.1!O$38</f>
        <v>1.3732944428592476E-2</v>
      </c>
      <c r="P37" s="1"/>
      <c r="Q37" s="98">
        <f>AVERAGE(D37,G37,J37,M37)</f>
        <v>3.0444690176056236E-2</v>
      </c>
      <c r="R37" s="1"/>
    </row>
    <row r="38" spans="1:18" customFormat="1" ht="13.35" customHeight="1">
      <c r="A38" s="88"/>
      <c r="B38" s="75" t="s">
        <v>9</v>
      </c>
      <c r="C38" s="89"/>
      <c r="D38" s="63">
        <f>A2.3.1!D38/A2.3.1!D$38</f>
        <v>1</v>
      </c>
      <c r="E38" s="60" t="e">
        <f>A2.3.1!E38/A2.3.1!E$38</f>
        <v>#DIV/0!</v>
      </c>
      <c r="F38" s="60">
        <f>A2.3.1!F38/A2.3.1!F$38</f>
        <v>1</v>
      </c>
      <c r="G38" s="63">
        <f>A2.3.1!G38/A2.3.1!G$38</f>
        <v>1</v>
      </c>
      <c r="H38" s="60" t="e">
        <f>A2.3.1!H38/A2.3.1!H$38</f>
        <v>#DIV/0!</v>
      </c>
      <c r="I38" s="60">
        <f>A2.3.1!I38/A2.3.1!I$38</f>
        <v>1</v>
      </c>
      <c r="J38" s="63">
        <f>A2.3.1!J38/A2.3.1!J$38</f>
        <v>1</v>
      </c>
      <c r="K38" s="60">
        <f>A2.3.1!K38/A2.3.1!K$38</f>
        <v>1</v>
      </c>
      <c r="L38" s="60">
        <f>A2.3.1!L38/A2.3.1!L$38</f>
        <v>1</v>
      </c>
      <c r="M38" s="63">
        <f>A2.3.1!M38/A2.3.1!M$38</f>
        <v>1</v>
      </c>
      <c r="N38" s="60">
        <f>A2.3.1!N38/A2.3.1!N$38</f>
        <v>1</v>
      </c>
      <c r="O38" s="61">
        <f>A2.3.1!O38/A2.3.1!O$38</f>
        <v>1</v>
      </c>
      <c r="P38" s="1"/>
      <c r="Q38" s="1"/>
      <c r="R38" s="1"/>
    </row>
    <row r="39" spans="1:18" customFormat="1" ht="13.35" customHeight="1">
      <c r="J39" s="1"/>
      <c r="K39" s="1"/>
      <c r="P39" s="1"/>
      <c r="Q39" s="1"/>
      <c r="R39" s="1"/>
    </row>
    <row r="40" spans="1:18" customFormat="1" ht="13.35" customHeight="1">
      <c r="G40" s="560" t="s">
        <v>506</v>
      </c>
      <c r="J40" s="1"/>
      <c r="K40" s="1"/>
      <c r="P40" s="1"/>
      <c r="Q40" s="1"/>
      <c r="R40" s="1"/>
    </row>
    <row r="41" spans="1:18" customFormat="1" ht="13.35" customHeight="1">
      <c r="J41" s="1"/>
      <c r="K41" s="1"/>
      <c r="P41" s="1"/>
      <c r="Q41" s="1"/>
      <c r="R41" s="1"/>
    </row>
    <row r="42" spans="1:18" customFormat="1" ht="13.35" customHeight="1">
      <c r="D42" s="2"/>
      <c r="E42" s="2"/>
      <c r="J42" s="98">
        <f>J14+J4+J12+J17</f>
        <v>0.60050574553186498</v>
      </c>
      <c r="K42" s="343">
        <f t="shared" ref="K42:L42" si="0">K14+K4+K12+K17</f>
        <v>0</v>
      </c>
      <c r="L42" s="98">
        <f t="shared" si="0"/>
        <v>0.62188425650762602</v>
      </c>
      <c r="P42" s="1"/>
      <c r="Q42" s="1"/>
      <c r="R42" s="1"/>
    </row>
    <row r="43" spans="1:18" customFormat="1" ht="13.35" customHeight="1">
      <c r="J43" s="1"/>
      <c r="K43" s="1"/>
      <c r="P43" s="1"/>
      <c r="Q43" s="1"/>
      <c r="R43" s="1"/>
    </row>
    <row r="44" spans="1:18" customFormat="1" ht="13.35" customHeight="1">
      <c r="J44" s="1"/>
      <c r="K44" s="1"/>
      <c r="P44" s="1"/>
      <c r="Q44" s="1"/>
      <c r="R44" s="1"/>
    </row>
  </sheetData>
  <mergeCells count="1">
    <mergeCell ref="B3:C3"/>
  </mergeCells>
  <phoneticPr fontId="7" type="noConversion"/>
  <hyperlinks>
    <hyperlink ref="G40" location="CONTENTS!A1" display="BACK TO CONTENTS"/>
  </hyperlinks>
  <pageMargins left="0.98425196850393704" right="0.98425196850393704" top="0.98425196850393704" bottom="0.98425196850393704" header="0.51181102362204722" footer="0.51181102362204722"/>
  <pageSetup paperSize="9" scale="90" orientation="landscape" r:id="rId1"/>
  <headerFooter alignWithMargins="0"/>
</worksheet>
</file>

<file path=xl/worksheets/sheet29.xml><?xml version="1.0" encoding="utf-8"?>
<worksheet xmlns="http://schemas.openxmlformats.org/spreadsheetml/2006/main" xmlns:r="http://schemas.openxmlformats.org/officeDocument/2006/relationships">
  <sheetPr codeName="Sheet56" enableFormatConditionsCalculation="0">
    <pageSetUpPr fitToPage="1"/>
  </sheetPr>
  <dimension ref="A1:O52"/>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55.85546875" style="2" customWidth="1"/>
    <col min="4" max="4" width="9.7109375" style="2" customWidth="1"/>
    <col min="5" max="5" width="9.7109375" style="2" hidden="1" customWidth="1"/>
    <col min="6" max="6" width="9.7109375" style="2" customWidth="1"/>
    <col min="7" max="7" width="9.7109375" style="14" customWidth="1"/>
    <col min="8" max="8" width="9.7109375" style="14" hidden="1" customWidth="1"/>
    <col min="9" max="10" width="9.7109375" style="6" customWidth="1"/>
    <col min="11" max="11" width="9.7109375" style="6" hidden="1" customWidth="1"/>
    <col min="12" max="13" width="9.7109375" style="6" customWidth="1"/>
    <col min="14" max="14" width="9.7109375" style="6" hidden="1" customWidth="1"/>
    <col min="15" max="15" width="9.7109375" style="6" customWidth="1"/>
    <col min="16" max="16" width="13.5703125" style="10" customWidth="1"/>
    <col min="17" max="16384" width="9.140625" style="10"/>
  </cols>
  <sheetData>
    <row r="1" spans="1:15" s="8" customFormat="1" ht="15" customHeight="1">
      <c r="A1" s="455" t="s">
        <v>449</v>
      </c>
      <c r="B1" s="455"/>
      <c r="C1" s="455"/>
      <c r="D1" s="564"/>
      <c r="E1" s="564"/>
      <c r="F1" s="564"/>
      <c r="G1" s="66"/>
      <c r="H1" s="66"/>
      <c r="I1" s="5"/>
      <c r="J1" s="4"/>
      <c r="K1" s="4"/>
      <c r="L1" s="4"/>
      <c r="M1" s="4"/>
      <c r="N1" s="4"/>
      <c r="O1" s="4"/>
    </row>
    <row r="2" spans="1:15" s="8" customFormat="1">
      <c r="A2" s="90"/>
      <c r="B2" s="91" t="s">
        <v>183</v>
      </c>
      <c r="C2" s="92"/>
      <c r="D2" s="84" t="s">
        <v>463</v>
      </c>
      <c r="E2" s="67"/>
      <c r="F2" s="67"/>
      <c r="G2" s="65" t="s">
        <v>464</v>
      </c>
      <c r="H2" s="67"/>
      <c r="I2" s="67"/>
      <c r="J2" s="65" t="s">
        <v>465</v>
      </c>
      <c r="K2" s="67"/>
      <c r="L2" s="67"/>
      <c r="M2" s="65" t="s">
        <v>466</v>
      </c>
      <c r="N2" s="67"/>
      <c r="O2" s="85"/>
    </row>
    <row r="3" spans="1:15" ht="33.75">
      <c r="A3" s="80"/>
      <c r="B3" s="706" t="s">
        <v>2</v>
      </c>
      <c r="C3" s="707"/>
      <c r="D3" s="32" t="s">
        <v>18</v>
      </c>
      <c r="E3" s="33" t="s">
        <v>68</v>
      </c>
      <c r="F3" s="33" t="s">
        <v>69</v>
      </c>
      <c r="G3" s="32" t="s">
        <v>18</v>
      </c>
      <c r="H3" s="33" t="s">
        <v>68</v>
      </c>
      <c r="I3" s="33" t="s">
        <v>69</v>
      </c>
      <c r="J3" s="32" t="s">
        <v>18</v>
      </c>
      <c r="K3" s="33" t="s">
        <v>68</v>
      </c>
      <c r="L3" s="33" t="s">
        <v>69</v>
      </c>
      <c r="M3" s="32" t="s">
        <v>18</v>
      </c>
      <c r="N3" s="33" t="s">
        <v>68</v>
      </c>
      <c r="O3" s="86" t="s">
        <v>69</v>
      </c>
    </row>
    <row r="4" spans="1:15" ht="12.75" customHeight="1">
      <c r="A4" s="49"/>
      <c r="B4" s="127" t="s">
        <v>169</v>
      </c>
      <c r="C4" s="79"/>
      <c r="D4" s="128"/>
      <c r="E4" s="95"/>
      <c r="F4" s="95"/>
      <c r="G4" s="128"/>
      <c r="H4" s="95"/>
      <c r="I4" s="95"/>
      <c r="J4" s="128"/>
      <c r="K4" s="95"/>
      <c r="L4" s="95"/>
      <c r="M4" s="128"/>
      <c r="N4" s="95"/>
      <c r="O4" s="129"/>
    </row>
    <row r="5" spans="1:15" s="41" customFormat="1" ht="12.75" customHeight="1">
      <c r="A5" s="130"/>
      <c r="B5" s="131" t="s">
        <v>118</v>
      </c>
      <c r="C5" s="132"/>
      <c r="D5" s="128">
        <f>A2.3.1!D5</f>
        <v>71269.381199073468</v>
      </c>
      <c r="E5" s="95">
        <f>A2.3.1!E5</f>
        <v>0</v>
      </c>
      <c r="F5" s="95">
        <f>A2.3.1!F5</f>
        <v>3504.8303688570822</v>
      </c>
      <c r="G5" s="128">
        <f>A2.3.1!G5</f>
        <v>76406.020312238819</v>
      </c>
      <c r="H5" s="95">
        <f>A2.3.1!H5</f>
        <v>0</v>
      </c>
      <c r="I5" s="95">
        <f>A2.3.1!I5</f>
        <v>3997.2615143881403</v>
      </c>
      <c r="J5" s="128">
        <f>A2.3.1!J5</f>
        <v>76035</v>
      </c>
      <c r="K5" s="95">
        <f>A2.3.1!K5</f>
        <v>0</v>
      </c>
      <c r="L5" s="95">
        <f>A2.3.1!L5</f>
        <v>3791.0921939999998</v>
      </c>
      <c r="M5" s="128">
        <f>A2.3.1!M5</f>
        <v>78174</v>
      </c>
      <c r="N5" s="95">
        <f>A2.3.1!N5</f>
        <v>0</v>
      </c>
      <c r="O5" s="129">
        <f>A2.3.1!O5</f>
        <v>4269.8860530000002</v>
      </c>
    </row>
    <row r="6" spans="1:15" s="41" customFormat="1" ht="12.75" customHeight="1">
      <c r="A6" s="130"/>
      <c r="B6" s="131" t="s">
        <v>125</v>
      </c>
      <c r="C6" s="132"/>
      <c r="D6" s="128">
        <f>A2.3.1!D21</f>
        <v>121502.74400600352</v>
      </c>
      <c r="E6" s="95">
        <f>A2.3.1!E21</f>
        <v>0</v>
      </c>
      <c r="F6" s="95">
        <f>A2.3.1!F21</f>
        <v>7066.125967104319</v>
      </c>
      <c r="G6" s="128">
        <f>A2.3.1!G21</f>
        <v>130259.88117652055</v>
      </c>
      <c r="H6" s="95">
        <f>A2.3.1!H21</f>
        <v>0</v>
      </c>
      <c r="I6" s="95">
        <f>A2.3.1!I21</f>
        <v>8058.9216628294207</v>
      </c>
      <c r="J6" s="128">
        <f>A2.3.1!J21</f>
        <v>125272</v>
      </c>
      <c r="K6" s="95">
        <f>A2.3.1!K21</f>
        <v>0</v>
      </c>
      <c r="L6" s="95">
        <f>A2.3.1!L21</f>
        <v>7210.679736</v>
      </c>
      <c r="M6" s="128">
        <f>A2.3.1!M21</f>
        <v>133274</v>
      </c>
      <c r="N6" s="95">
        <f>A2.3.1!N21</f>
        <v>0</v>
      </c>
      <c r="O6" s="129">
        <f>A2.3.1!O21</f>
        <v>8608.5629090000002</v>
      </c>
    </row>
    <row r="7" spans="1:15" ht="12.75" customHeight="1">
      <c r="A7" s="49"/>
      <c r="B7" s="127" t="s">
        <v>170</v>
      </c>
      <c r="C7" s="79"/>
      <c r="D7" s="128"/>
      <c r="E7" s="95"/>
      <c r="F7" s="95"/>
      <c r="G7" s="128"/>
      <c r="H7" s="95"/>
      <c r="I7" s="95"/>
      <c r="J7" s="128"/>
      <c r="K7" s="95"/>
      <c r="L7" s="95"/>
      <c r="M7" s="128"/>
      <c r="N7" s="95"/>
      <c r="O7" s="129"/>
    </row>
    <row r="8" spans="1:15" s="41" customFormat="1" ht="12.75" customHeight="1">
      <c r="A8" s="130"/>
      <c r="B8" s="131" t="s">
        <v>6</v>
      </c>
      <c r="C8" s="132"/>
      <c r="D8" s="128">
        <f>A2.3.1!D11</f>
        <v>111611.05641153544</v>
      </c>
      <c r="E8" s="95">
        <f>A2.3.1!E11</f>
        <v>0</v>
      </c>
      <c r="F8" s="95">
        <f>A2.3.1!F11</f>
        <v>4794.6284820518531</v>
      </c>
      <c r="G8" s="128">
        <f>A2.3.1!G11</f>
        <v>119655.26429126725</v>
      </c>
      <c r="H8" s="95">
        <f>A2.3.1!H11</f>
        <v>0</v>
      </c>
      <c r="I8" s="95">
        <f>A2.3.1!I11</f>
        <v>5468.2771746653434</v>
      </c>
      <c r="J8" s="128">
        <f>A2.3.1!J11</f>
        <v>114383</v>
      </c>
      <c r="K8" s="95">
        <f>A2.3.1!K11</f>
        <v>0</v>
      </c>
      <c r="L8" s="95">
        <f>A2.3.1!L11</f>
        <v>5505.3453980000004</v>
      </c>
      <c r="M8" s="128">
        <f>A2.3.1!M11</f>
        <v>122424</v>
      </c>
      <c r="N8" s="95">
        <f>A2.3.1!N11</f>
        <v>0</v>
      </c>
      <c r="O8" s="129">
        <f>A2.3.1!O11</f>
        <v>5841.2291409999998</v>
      </c>
    </row>
    <row r="9" spans="1:15" s="41" customFormat="1" ht="12.75" customHeight="1">
      <c r="A9" s="130"/>
      <c r="B9" s="131" t="s">
        <v>142</v>
      </c>
      <c r="C9" s="132"/>
      <c r="D9" s="128">
        <f>A2.3.1!D13</f>
        <v>30690.670154854673</v>
      </c>
      <c r="E9" s="95">
        <f>A2.3.1!E13</f>
        <v>0</v>
      </c>
      <c r="F9" s="95">
        <f>A2.3.1!F13</f>
        <v>1681.4033039822741</v>
      </c>
      <c r="G9" s="128">
        <f>A2.3.1!G13</f>
        <v>32902.656481582206</v>
      </c>
      <c r="H9" s="95">
        <f>A2.3.1!H13</f>
        <v>0</v>
      </c>
      <c r="I9" s="95">
        <f>A2.3.1!I13</f>
        <v>1917.641657323665</v>
      </c>
      <c r="J9" s="128">
        <f>A2.3.1!J13</f>
        <v>33262</v>
      </c>
      <c r="K9" s="95">
        <f>A2.3.1!K13</f>
        <v>0</v>
      </c>
      <c r="L9" s="95">
        <f>A2.3.1!L13</f>
        <v>1788.3286559999999</v>
      </c>
      <c r="M9" s="128">
        <f>A2.3.1!M13</f>
        <v>33664</v>
      </c>
      <c r="N9" s="95">
        <f>A2.3.1!N13</f>
        <v>0</v>
      </c>
      <c r="O9" s="129">
        <f>A2.3.1!O13</f>
        <v>2048.430241</v>
      </c>
    </row>
    <row r="10" spans="1:15" s="73" customFormat="1" ht="12.75" customHeight="1">
      <c r="A10" s="130"/>
      <c r="B10" s="131" t="s">
        <v>165</v>
      </c>
      <c r="C10" s="132"/>
      <c r="D10" s="128">
        <f t="shared" ref="D10:O10" si="0">SUM(D11:D24)</f>
        <v>227844.31154232923</v>
      </c>
      <c r="E10" s="95">
        <f t="shared" si="0"/>
        <v>0</v>
      </c>
      <c r="F10" s="95">
        <f t="shared" si="0"/>
        <v>9534.5217553004095</v>
      </c>
      <c r="G10" s="128">
        <f t="shared" si="0"/>
        <v>244265.86568928414</v>
      </c>
      <c r="H10" s="95">
        <f t="shared" si="0"/>
        <v>0</v>
      </c>
      <c r="I10" s="95">
        <f t="shared" si="0"/>
        <v>10874.128804980373</v>
      </c>
      <c r="J10" s="128">
        <f t="shared" si="0"/>
        <v>226363</v>
      </c>
      <c r="K10" s="95">
        <f t="shared" si="0"/>
        <v>0</v>
      </c>
      <c r="L10" s="95">
        <f t="shared" si="0"/>
        <v>10412.962667</v>
      </c>
      <c r="M10" s="128">
        <f t="shared" si="0"/>
        <v>249918</v>
      </c>
      <c r="N10" s="95">
        <f t="shared" si="0"/>
        <v>0</v>
      </c>
      <c r="O10" s="129">
        <f t="shared" si="0"/>
        <v>11615.775139000001</v>
      </c>
    </row>
    <row r="11" spans="1:15" s="51" customFormat="1" ht="12.75" customHeight="1">
      <c r="A11" s="49"/>
      <c r="B11" s="133" t="s">
        <v>139</v>
      </c>
      <c r="C11" s="16"/>
      <c r="D11" s="19">
        <f>A2.3.1!D6</f>
        <v>11555.496798145883</v>
      </c>
      <c r="E11" s="15">
        <f>A2.3.1!E6</f>
        <v>0</v>
      </c>
      <c r="F11" s="15">
        <f>A2.3.1!F6</f>
        <v>452.38346543358875</v>
      </c>
      <c r="G11" s="19">
        <f>A2.3.1!G6</f>
        <v>12388.342766874242</v>
      </c>
      <c r="H11" s="15">
        <f>A2.3.1!H6</f>
        <v>0</v>
      </c>
      <c r="I11" s="15">
        <f>A2.3.1!I6</f>
        <v>515.94366226428895</v>
      </c>
      <c r="J11" s="19">
        <f>A2.3.1!J6</f>
        <v>10868</v>
      </c>
      <c r="K11" s="15">
        <f>A2.3.1!K6</f>
        <v>0</v>
      </c>
      <c r="L11" s="15">
        <f>A2.3.1!L6</f>
        <v>463.47747800000002</v>
      </c>
      <c r="M11" s="19">
        <f>A2.3.1!M6</f>
        <v>12675</v>
      </c>
      <c r="N11" s="15">
        <f>A2.3.1!N6</f>
        <v>0</v>
      </c>
      <c r="O11" s="24">
        <f>A2.3.1!O6</f>
        <v>551.13247899999999</v>
      </c>
    </row>
    <row r="12" spans="1:15" s="51" customFormat="1" ht="12.75" customHeight="1">
      <c r="A12" s="49"/>
      <c r="B12" s="133" t="s">
        <v>140</v>
      </c>
      <c r="C12" s="16"/>
      <c r="D12" s="19">
        <f>A2.3.1!D8</f>
        <v>30362.466695499053</v>
      </c>
      <c r="E12" s="15">
        <f>A2.3.1!E8</f>
        <v>0</v>
      </c>
      <c r="F12" s="15">
        <f>A2.3.1!F8</f>
        <v>1417.6885573933318</v>
      </c>
      <c r="G12" s="19">
        <f>A2.3.1!G8</f>
        <v>32550.798225481638</v>
      </c>
      <c r="H12" s="15">
        <f>A2.3.1!H8</f>
        <v>0</v>
      </c>
      <c r="I12" s="15">
        <f>A2.3.1!I8</f>
        <v>1616.8748023330902</v>
      </c>
      <c r="J12" s="19">
        <f>A2.3.1!J8</f>
        <v>30972</v>
      </c>
      <c r="K12" s="15">
        <f>A2.3.1!K8</f>
        <v>0</v>
      </c>
      <c r="L12" s="15">
        <f>A2.3.1!L8</f>
        <v>1511.3242130000001</v>
      </c>
      <c r="M12" s="19">
        <f>A2.3.1!M8</f>
        <v>33304</v>
      </c>
      <c r="N12" s="15">
        <f>A2.3.1!N8</f>
        <v>0</v>
      </c>
      <c r="O12" s="24">
        <f>A2.3.1!O8</f>
        <v>1727.1502359999999</v>
      </c>
    </row>
    <row r="13" spans="1:15" s="51" customFormat="1" ht="12.75" customHeight="1">
      <c r="A13" s="49"/>
      <c r="B13" s="133" t="s">
        <v>120</v>
      </c>
      <c r="C13" s="16"/>
      <c r="D13" s="19">
        <f>A2.3.1!D9</f>
        <v>13370.644263637674</v>
      </c>
      <c r="E13" s="15">
        <f>A2.3.1!E9</f>
        <v>0</v>
      </c>
      <c r="F13" s="15">
        <f>A2.3.1!F9</f>
        <v>426.05887262035679</v>
      </c>
      <c r="G13" s="19">
        <f>A2.3.1!G9</f>
        <v>14334.31439991934</v>
      </c>
      <c r="H13" s="15">
        <f>A2.3.1!H9</f>
        <v>0</v>
      </c>
      <c r="I13" s="15">
        <f>A2.3.1!I9</f>
        <v>485.92044554336536</v>
      </c>
      <c r="J13" s="19">
        <f>A2.3.1!J9</f>
        <v>14733</v>
      </c>
      <c r="K13" s="15">
        <f>A2.3.1!K9</f>
        <v>0</v>
      </c>
      <c r="L13" s="15">
        <f>A2.3.1!L9</f>
        <v>487.72411199999999</v>
      </c>
      <c r="M13" s="19">
        <f>A2.3.1!M9</f>
        <v>14666</v>
      </c>
      <c r="N13" s="15">
        <f>A2.3.1!N9</f>
        <v>0</v>
      </c>
      <c r="O13" s="24">
        <f>A2.3.1!O9</f>
        <v>519.06159400000001</v>
      </c>
    </row>
    <row r="14" spans="1:15" s="51" customFormat="1" ht="12.75" customHeight="1">
      <c r="A14" s="49"/>
      <c r="B14" s="133" t="s">
        <v>141</v>
      </c>
      <c r="C14" s="16"/>
      <c r="D14" s="19">
        <f>A2.3.1!D10</f>
        <v>7478.4804919282587</v>
      </c>
      <c r="E14" s="15">
        <f>A2.3.1!E10</f>
        <v>0</v>
      </c>
      <c r="F14" s="15">
        <f>A2.3.1!F10</f>
        <v>441.32443815312394</v>
      </c>
      <c r="G14" s="19">
        <f>A2.3.1!G10</f>
        <v>8017.4813188693815</v>
      </c>
      <c r="H14" s="15">
        <f>A2.3.1!H10</f>
        <v>0</v>
      </c>
      <c r="I14" s="15">
        <f>A2.3.1!I10</f>
        <v>503.33083382968891</v>
      </c>
      <c r="J14" s="19">
        <f>A2.3.1!J10</f>
        <v>8752</v>
      </c>
      <c r="K14" s="15">
        <f>A2.3.1!K10</f>
        <v>0</v>
      </c>
      <c r="L14" s="15">
        <f>A2.3.1!L10</f>
        <v>562.49363900000003</v>
      </c>
      <c r="M14" s="19">
        <f>A2.3.1!M10</f>
        <v>8203</v>
      </c>
      <c r="N14" s="15">
        <f>A2.3.1!N10</f>
        <v>0</v>
      </c>
      <c r="O14" s="24">
        <f>A2.3.1!O10</f>
        <v>537.65941999999995</v>
      </c>
    </row>
    <row r="15" spans="1:15" ht="12.75" customHeight="1">
      <c r="A15" s="49"/>
      <c r="B15" s="133" t="s">
        <v>122</v>
      </c>
      <c r="C15" s="16"/>
      <c r="D15" s="19">
        <f>A2.3.1!D15</f>
        <v>24436.570901578089</v>
      </c>
      <c r="E15" s="15">
        <f>A2.3.1!E15</f>
        <v>0</v>
      </c>
      <c r="F15" s="15">
        <f>A2.3.1!F15</f>
        <v>1100.8370730261831</v>
      </c>
      <c r="G15" s="19">
        <f>A2.3.1!G15</f>
        <v>26197.8019347769</v>
      </c>
      <c r="H15" s="15">
        <f>A2.3.1!H15</f>
        <v>0</v>
      </c>
      <c r="I15" s="15">
        <f>A2.3.1!I15</f>
        <v>1255.505460326797</v>
      </c>
      <c r="J15" s="19">
        <f>A2.3.1!J15</f>
        <v>24819</v>
      </c>
      <c r="K15" s="15">
        <f>A2.3.1!K15</f>
        <v>0</v>
      </c>
      <c r="L15" s="15">
        <f>A2.3.1!L15</f>
        <v>1191.609291</v>
      </c>
      <c r="M15" s="19">
        <f>A2.3.1!M15</f>
        <v>26804</v>
      </c>
      <c r="N15" s="15">
        <f>A2.3.1!N15</f>
        <v>0</v>
      </c>
      <c r="O15" s="24">
        <f>A2.3.1!O15</f>
        <v>1341.134483</v>
      </c>
    </row>
    <row r="16" spans="1:15" ht="12.75" customHeight="1">
      <c r="A16" s="49"/>
      <c r="B16" s="133" t="s">
        <v>144</v>
      </c>
      <c r="C16" s="16"/>
      <c r="D16" s="19">
        <f>A2.3.1!D16</f>
        <v>1290.9336067987826</v>
      </c>
      <c r="E16" s="15">
        <f>A2.3.1!E16</f>
        <v>0</v>
      </c>
      <c r="F16" s="15">
        <f>A2.3.1!F16</f>
        <v>28.34793531003378</v>
      </c>
      <c r="G16" s="19">
        <f>A2.3.1!G16</f>
        <v>1383.9758073289095</v>
      </c>
      <c r="H16" s="15">
        <f>A2.3.1!H16</f>
        <v>0</v>
      </c>
      <c r="I16" s="15">
        <f>A2.3.1!I16</f>
        <v>32.330840269486181</v>
      </c>
      <c r="J16" s="19">
        <f>A2.3.1!J16</f>
        <v>848</v>
      </c>
      <c r="K16" s="15">
        <f>A2.3.1!K16</f>
        <v>0</v>
      </c>
      <c r="L16" s="15">
        <f>A2.3.1!L16</f>
        <v>29.263783</v>
      </c>
      <c r="M16" s="19">
        <f>A2.3.1!M16</f>
        <v>1416</v>
      </c>
      <c r="N16" s="15">
        <f>A2.3.1!N16</f>
        <v>0</v>
      </c>
      <c r="O16" s="24">
        <f>A2.3.1!O16</f>
        <v>34.535894999999996</v>
      </c>
    </row>
    <row r="17" spans="1:15" ht="12.75" customHeight="1">
      <c r="A17" s="49"/>
      <c r="B17" s="133" t="s">
        <v>124</v>
      </c>
      <c r="C17" s="16"/>
      <c r="D17" s="19">
        <f>A2.3.1!D18</f>
        <v>38042.427644420626</v>
      </c>
      <c r="E17" s="15">
        <f>A2.3.1!E18</f>
        <v>0</v>
      </c>
      <c r="F17" s="15">
        <f>A2.3.1!F18</f>
        <v>1887.0707699446566</v>
      </c>
      <c r="G17" s="19">
        <f>A2.3.1!G18</f>
        <v>40784.281418234983</v>
      </c>
      <c r="H17" s="15">
        <f>A2.3.1!H18</f>
        <v>0</v>
      </c>
      <c r="I17" s="15">
        <f>A2.3.1!I18</f>
        <v>2152.2055477071108</v>
      </c>
      <c r="J17" s="19">
        <f>A2.3.1!J18</f>
        <v>37892</v>
      </c>
      <c r="K17" s="15">
        <f>A2.3.1!K18</f>
        <v>0</v>
      </c>
      <c r="L17" s="15">
        <f>A2.3.1!L18</f>
        <v>2052.1480670000001</v>
      </c>
      <c r="M17" s="19">
        <f>A2.3.1!M18</f>
        <v>41728</v>
      </c>
      <c r="N17" s="15">
        <f>A2.3.1!N18</f>
        <v>0</v>
      </c>
      <c r="O17" s="24">
        <f>A2.3.1!O18</f>
        <v>2298.9920520000001</v>
      </c>
    </row>
    <row r="18" spans="1:15" ht="12.75" customHeight="1">
      <c r="A18" s="49"/>
      <c r="B18" s="133" t="s">
        <v>365</v>
      </c>
      <c r="C18" s="16"/>
      <c r="D18" s="19">
        <f>A2.3.1!D20</f>
        <v>45914.752287575626</v>
      </c>
      <c r="E18" s="15">
        <f>A2.3.1!E20</f>
        <v>0</v>
      </c>
      <c r="F18" s="15">
        <f>A2.3.1!F20</f>
        <v>1879.2757617345462</v>
      </c>
      <c r="G18" s="19">
        <f>A2.3.1!G20</f>
        <v>49223.992644425045</v>
      </c>
      <c r="H18" s="15">
        <f>A2.3.1!H20</f>
        <v>0</v>
      </c>
      <c r="I18" s="15">
        <f>A2.3.1!I20</f>
        <v>2143.3153353306484</v>
      </c>
      <c r="J18" s="19">
        <f>A2.3.1!J20</f>
        <v>43981</v>
      </c>
      <c r="K18" s="15">
        <f>A2.3.1!K20</f>
        <v>0</v>
      </c>
      <c r="L18" s="15">
        <f>A2.3.1!L20</f>
        <v>2060.2350759999999</v>
      </c>
      <c r="M18" s="19">
        <f>A2.3.1!M20</f>
        <v>50363</v>
      </c>
      <c r="N18" s="15">
        <f>A2.3.1!N20</f>
        <v>0</v>
      </c>
      <c r="O18" s="24">
        <f>A2.3.1!O20</f>
        <v>2289.4955020000002</v>
      </c>
    </row>
    <row r="19" spans="1:15" ht="12.75" customHeight="1">
      <c r="A19" s="49"/>
      <c r="B19" s="133" t="s">
        <v>126</v>
      </c>
      <c r="C19" s="16"/>
      <c r="D19" s="19">
        <f>A2.3.1!D22</f>
        <v>13433.549926680835</v>
      </c>
      <c r="E19" s="15">
        <f>A2.3.1!E22</f>
        <v>0</v>
      </c>
      <c r="F19" s="15">
        <f>A2.3.1!F22</f>
        <v>445.47790841012261</v>
      </c>
      <c r="G19" s="19">
        <f>A2.3.1!G22</f>
        <v>14401.753899005282</v>
      </c>
      <c r="H19" s="15">
        <f>A2.3.1!H22</f>
        <v>0</v>
      </c>
      <c r="I19" s="15">
        <f>A2.3.1!I22</f>
        <v>508.06786959523743</v>
      </c>
      <c r="J19" s="19">
        <f>A2.3.1!J22</f>
        <v>14923</v>
      </c>
      <c r="K19" s="15">
        <f>A2.3.1!K22</f>
        <v>0</v>
      </c>
      <c r="L19" s="15">
        <f>A2.3.1!L22</f>
        <v>527.16494399999999</v>
      </c>
      <c r="M19" s="19">
        <f>A2.3.1!M22</f>
        <v>14735</v>
      </c>
      <c r="N19" s="15">
        <f>A2.3.1!N22</f>
        <v>0</v>
      </c>
      <c r="O19" s="24">
        <f>A2.3.1!O22</f>
        <v>542.71953499999995</v>
      </c>
    </row>
    <row r="20" spans="1:15" ht="12.75" customHeight="1">
      <c r="A20" s="49"/>
      <c r="B20" s="133" t="s">
        <v>127</v>
      </c>
      <c r="C20" s="16"/>
      <c r="D20" s="19">
        <f>A2.3.1!D23</f>
        <v>21717.040570306359</v>
      </c>
      <c r="E20" s="15">
        <f>A2.3.1!E23</f>
        <v>0</v>
      </c>
      <c r="F20" s="15">
        <f>A2.3.1!F23</f>
        <v>869.75582741484357</v>
      </c>
      <c r="G20" s="19">
        <f>A2.3.1!G23</f>
        <v>23282.265329365786</v>
      </c>
      <c r="H20" s="15">
        <f>A2.3.1!H23</f>
        <v>0</v>
      </c>
      <c r="I20" s="15">
        <f>A2.3.1!I23</f>
        <v>991.95713628043382</v>
      </c>
      <c r="J20" s="19">
        <f>A2.3.1!J23</f>
        <v>22717</v>
      </c>
      <c r="K20" s="15">
        <f>A2.3.1!K23</f>
        <v>0</v>
      </c>
      <c r="L20" s="15">
        <f>A2.3.1!L23</f>
        <v>964.69671700000004</v>
      </c>
      <c r="M20" s="19">
        <f>A2.3.1!M23</f>
        <v>23821</v>
      </c>
      <c r="N20" s="15">
        <f>A2.3.1!N23</f>
        <v>0</v>
      </c>
      <c r="O20" s="24">
        <f>A2.3.1!O23</f>
        <v>1059.611418</v>
      </c>
    </row>
    <row r="21" spans="1:15" ht="12.75" customHeight="1">
      <c r="A21" s="49"/>
      <c r="B21" s="133" t="s">
        <v>131</v>
      </c>
      <c r="C21" s="16"/>
      <c r="D21" s="19">
        <f>A2.3.1!D28</f>
        <v>2059.4767074565325</v>
      </c>
      <c r="E21" s="15">
        <f>A2.3.1!E28</f>
        <v>0</v>
      </c>
      <c r="F21" s="15">
        <f>A2.3.1!F28</f>
        <v>114.89545455450043</v>
      </c>
      <c r="G21" s="19">
        <f>A2.3.1!G28</f>
        <v>2207.910557031078</v>
      </c>
      <c r="H21" s="15">
        <f>A2.3.1!H28</f>
        <v>0</v>
      </c>
      <c r="I21" s="15">
        <f>A2.3.1!I28</f>
        <v>131.03834717644327</v>
      </c>
      <c r="J21" s="19">
        <f>A2.3.1!J28</f>
        <v>2048</v>
      </c>
      <c r="K21" s="15">
        <f>A2.3.1!K28</f>
        <v>0</v>
      </c>
      <c r="L21" s="15">
        <f>A2.3.1!L28</f>
        <v>128.33328700000001</v>
      </c>
      <c r="M21" s="19">
        <f>A2.3.1!M28</f>
        <v>2259</v>
      </c>
      <c r="N21" s="15">
        <f>A2.3.1!N28</f>
        <v>0</v>
      </c>
      <c r="O21" s="24">
        <f>A2.3.1!O28</f>
        <v>139.97553300000001</v>
      </c>
    </row>
    <row r="22" spans="1:15" ht="12.75" customHeight="1">
      <c r="A22" s="49"/>
      <c r="B22" s="133" t="s">
        <v>8</v>
      </c>
      <c r="C22" s="16"/>
      <c r="D22" s="19">
        <f>A2.3.1!D31</f>
        <v>4942.1970921300854</v>
      </c>
      <c r="E22" s="15">
        <f>A2.3.1!E31</f>
        <v>0</v>
      </c>
      <c r="F22" s="15">
        <f>A2.3.1!F31</f>
        <v>162.73109179219401</v>
      </c>
      <c r="G22" s="19">
        <f>A2.3.1!G31</f>
        <v>5298.3989064477528</v>
      </c>
      <c r="H22" s="15">
        <f>A2.3.1!H31</f>
        <v>0</v>
      </c>
      <c r="I22" s="15">
        <f>A2.3.1!I31</f>
        <v>185.59492527663201</v>
      </c>
      <c r="J22" s="19">
        <f>A2.3.1!J31</f>
        <v>5567</v>
      </c>
      <c r="K22" s="15">
        <f>A2.3.1!K31</f>
        <v>0</v>
      </c>
      <c r="L22" s="15">
        <f>A2.3.1!L31</f>
        <v>181.88385400000001</v>
      </c>
      <c r="M22" s="19">
        <f>A2.3.1!M31</f>
        <v>5421</v>
      </c>
      <c r="N22" s="15">
        <f>A2.3.1!N31</f>
        <v>0</v>
      </c>
      <c r="O22" s="24">
        <f>A2.3.1!O31</f>
        <v>198.25302400000001</v>
      </c>
    </row>
    <row r="23" spans="1:15" ht="12.75" customHeight="1">
      <c r="A23" s="49"/>
      <c r="B23" s="133" t="s">
        <v>133</v>
      </c>
      <c r="C23" s="16"/>
      <c r="D23" s="19">
        <f>A2.3.1!D32</f>
        <v>633.61501181154949</v>
      </c>
      <c r="E23" s="15">
        <f>A2.3.1!E32</f>
        <v>0</v>
      </c>
      <c r="F23" s="15">
        <f>A2.3.1!F32</f>
        <v>8.6281992119787461</v>
      </c>
      <c r="G23" s="19">
        <f>A2.3.1!G32</f>
        <v>679.28191108304532</v>
      </c>
      <c r="H23" s="15">
        <f>A2.3.1!H32</f>
        <v>0</v>
      </c>
      <c r="I23" s="15">
        <f>A2.3.1!I32</f>
        <v>9.8404673033472836</v>
      </c>
      <c r="J23" s="19">
        <f>A2.3.1!J32</f>
        <v>832</v>
      </c>
      <c r="K23" s="15">
        <f>A2.3.1!K32</f>
        <v>0</v>
      </c>
      <c r="L23" s="15">
        <f>A2.3.1!L32</f>
        <v>8.1976130000000005</v>
      </c>
      <c r="M23" s="19">
        <f>A2.3.1!M32</f>
        <v>695</v>
      </c>
      <c r="N23" s="15">
        <f>A2.3.1!N32</f>
        <v>0</v>
      </c>
      <c r="O23" s="24">
        <f>A2.3.1!O32</f>
        <v>10.511615000000001</v>
      </c>
    </row>
    <row r="24" spans="1:15" ht="12.75" customHeight="1">
      <c r="A24" s="49"/>
      <c r="B24" s="133" t="s">
        <v>148</v>
      </c>
      <c r="C24" s="16"/>
      <c r="D24" s="19">
        <f>A2.3.1!D36</f>
        <v>12606.659544359864</v>
      </c>
      <c r="E24" s="15">
        <f>A2.3.1!E36</f>
        <v>0</v>
      </c>
      <c r="F24" s="15">
        <f>A2.3.1!F36</f>
        <v>300.04640030094868</v>
      </c>
      <c r="G24" s="19">
        <f>A2.3.1!G36</f>
        <v>13515.26657044079</v>
      </c>
      <c r="H24" s="15">
        <f>A2.3.1!H36</f>
        <v>0</v>
      </c>
      <c r="I24" s="15">
        <f>A2.3.1!I36</f>
        <v>342.20313174380254</v>
      </c>
      <c r="J24" s="19">
        <f>A2.3.1!J36</f>
        <v>7411</v>
      </c>
      <c r="K24" s="15">
        <f>A2.3.1!K36</f>
        <v>0</v>
      </c>
      <c r="L24" s="15">
        <f>A2.3.1!L36</f>
        <v>244.41059300000001</v>
      </c>
      <c r="M24" s="19">
        <f>A2.3.1!M36</f>
        <v>13828</v>
      </c>
      <c r="N24" s="15">
        <f>A2.3.1!N36</f>
        <v>0</v>
      </c>
      <c r="O24" s="24">
        <f>A2.3.1!O36</f>
        <v>365.54235299999999</v>
      </c>
    </row>
    <row r="25" spans="1:15" ht="12.75" customHeight="1">
      <c r="A25" s="49"/>
      <c r="B25" s="127" t="s">
        <v>171</v>
      </c>
      <c r="C25" s="79"/>
      <c r="D25" s="128"/>
      <c r="E25" s="95"/>
      <c r="F25" s="95"/>
      <c r="G25" s="128"/>
      <c r="H25" s="95"/>
      <c r="I25" s="95"/>
      <c r="J25" s="128"/>
      <c r="K25" s="95"/>
      <c r="L25" s="95"/>
      <c r="M25" s="128"/>
      <c r="N25" s="95"/>
      <c r="O25" s="129"/>
    </row>
    <row r="26" spans="1:15" s="41" customFormat="1" ht="12.75" customHeight="1">
      <c r="A26" s="130"/>
      <c r="B26" s="131" t="s">
        <v>168</v>
      </c>
      <c r="C26" s="132"/>
      <c r="D26" s="128">
        <f t="shared" ref="D26:O26" si="1">SUM(D27:D31)</f>
        <v>247141.76327616384</v>
      </c>
      <c r="E26" s="95">
        <f t="shared" si="1"/>
        <v>0</v>
      </c>
      <c r="F26" s="95">
        <f t="shared" si="1"/>
        <v>8289.7408805658433</v>
      </c>
      <c r="G26" s="128">
        <f t="shared" si="1"/>
        <v>264954.15376395301</v>
      </c>
      <c r="H26" s="95">
        <f t="shared" si="1"/>
        <v>0</v>
      </c>
      <c r="I26" s="95">
        <f t="shared" si="1"/>
        <v>9454.4553370043868</v>
      </c>
      <c r="J26" s="128">
        <f t="shared" si="1"/>
        <v>256456</v>
      </c>
      <c r="K26" s="95">
        <f t="shared" si="1"/>
        <v>0</v>
      </c>
      <c r="L26" s="95">
        <f t="shared" si="1"/>
        <v>9054.4995600000002</v>
      </c>
      <c r="M26" s="128">
        <f t="shared" si="1"/>
        <v>271085</v>
      </c>
      <c r="N26" s="95">
        <f t="shared" si="1"/>
        <v>0</v>
      </c>
      <c r="O26" s="129">
        <f t="shared" si="1"/>
        <v>10099.275926</v>
      </c>
    </row>
    <row r="27" spans="1:15" ht="12.75" customHeight="1">
      <c r="A27" s="49"/>
      <c r="B27" s="133" t="s">
        <v>121</v>
      </c>
      <c r="C27" s="16"/>
      <c r="D27" s="19">
        <f>A2.3.1!D12</f>
        <v>126935.42293461505</v>
      </c>
      <c r="E27" s="15">
        <f>A2.3.1!E12</f>
        <v>0</v>
      </c>
      <c r="F27" s="15">
        <f>A2.3.1!F12</f>
        <v>3835.1339465066731</v>
      </c>
      <c r="G27" s="19">
        <f>A2.3.1!G12</f>
        <v>136084.11269902971</v>
      </c>
      <c r="H27" s="15">
        <f>A2.3.1!H12</f>
        <v>0</v>
      </c>
      <c r="I27" s="15">
        <f>A2.3.1!I12</f>
        <v>4373.9729782967261</v>
      </c>
      <c r="J27" s="19">
        <f>A2.3.1!J12</f>
        <v>135546</v>
      </c>
      <c r="K27" s="15">
        <f>A2.3.1!K12</f>
        <v>0</v>
      </c>
      <c r="L27" s="15">
        <f>A2.3.1!L12</f>
        <v>4334.4897270000001</v>
      </c>
      <c r="M27" s="19">
        <f>A2.3.1!M12</f>
        <v>139233</v>
      </c>
      <c r="N27" s="15">
        <f>A2.3.1!N12</f>
        <v>0</v>
      </c>
      <c r="O27" s="24">
        <f>A2.3.1!O12</f>
        <v>4672.2903040000001</v>
      </c>
    </row>
    <row r="28" spans="1:15" ht="12.75" customHeight="1">
      <c r="A28" s="49"/>
      <c r="B28" s="133" t="s">
        <v>145</v>
      </c>
      <c r="C28" s="16"/>
      <c r="D28" s="19">
        <f>A2.3.1!D19</f>
        <v>52885.429093778665</v>
      </c>
      <c r="E28" s="15">
        <f>A2.3.1!E19</f>
        <v>0</v>
      </c>
      <c r="F28" s="15">
        <f>A2.3.1!F19</f>
        <v>2424.9460083406561</v>
      </c>
      <c r="G28" s="19">
        <f>A2.3.1!G19</f>
        <v>56697.071050383267</v>
      </c>
      <c r="H28" s="15">
        <f>A2.3.1!H19</f>
        <v>0</v>
      </c>
      <c r="I28" s="15">
        <f>A2.3.1!I19</f>
        <v>2765.6526374970213</v>
      </c>
      <c r="J28" s="19">
        <f>A2.3.1!J19</f>
        <v>53364</v>
      </c>
      <c r="K28" s="15">
        <f>A2.3.1!K19</f>
        <v>0</v>
      </c>
      <c r="L28" s="15">
        <f>A2.3.1!L19</f>
        <v>2614.748924</v>
      </c>
      <c r="M28" s="19">
        <f>A2.3.1!M19</f>
        <v>58009</v>
      </c>
      <c r="N28" s="15">
        <f>A2.3.1!N19</f>
        <v>0</v>
      </c>
      <c r="O28" s="24">
        <f>A2.3.1!O19</f>
        <v>2954.2779679999999</v>
      </c>
    </row>
    <row r="29" spans="1:15" ht="12.75" customHeight="1">
      <c r="A29" s="49"/>
      <c r="B29" s="133" t="s">
        <v>128</v>
      </c>
      <c r="C29" s="16"/>
      <c r="D29" s="19">
        <f>A2.3.1!D24</f>
        <v>11532.704891246187</v>
      </c>
      <c r="E29" s="15">
        <f>A2.3.1!E24</f>
        <v>0</v>
      </c>
      <c r="F29" s="15">
        <f>A2.3.1!F24</f>
        <v>186.40871108128033</v>
      </c>
      <c r="G29" s="19">
        <f>A2.3.1!G24</f>
        <v>12363.908165756147</v>
      </c>
      <c r="H29" s="15">
        <f>A2.3.1!H24</f>
        <v>0</v>
      </c>
      <c r="I29" s="15">
        <f>A2.3.1!I24</f>
        <v>212.59926682125942</v>
      </c>
      <c r="J29" s="19">
        <f>A2.3.1!J24</f>
        <v>11938</v>
      </c>
      <c r="K29" s="15">
        <f>A2.3.1!K24</f>
        <v>0</v>
      </c>
      <c r="L29" s="15">
        <f>A2.3.1!L24</f>
        <v>201.44747599999999</v>
      </c>
      <c r="M29" s="19">
        <f>A2.3.1!M24</f>
        <v>12650</v>
      </c>
      <c r="N29" s="15">
        <f>A2.3.1!N24</f>
        <v>0</v>
      </c>
      <c r="O29" s="24">
        <f>A2.3.1!O24</f>
        <v>227.09913800000001</v>
      </c>
    </row>
    <row r="30" spans="1:15" ht="12.75" customHeight="1">
      <c r="A30" s="49"/>
      <c r="B30" s="133" t="s">
        <v>146</v>
      </c>
      <c r="C30" s="16"/>
      <c r="D30" s="19">
        <f>A2.3.1!D25</f>
        <v>21810.943226733103</v>
      </c>
      <c r="E30" s="15">
        <f>A2.3.1!E25</f>
        <v>0</v>
      </c>
      <c r="F30" s="15">
        <f>A2.3.1!F25</f>
        <v>812.33947495227017</v>
      </c>
      <c r="G30" s="19">
        <f>A2.3.1!G25</f>
        <v>23382.935885972336</v>
      </c>
      <c r="H30" s="15">
        <f>A2.3.1!H25</f>
        <v>0</v>
      </c>
      <c r="I30" s="15">
        <f>A2.3.1!I25</f>
        <v>926.47374569054011</v>
      </c>
      <c r="J30" s="19">
        <f>A2.3.1!J25</f>
        <v>20958</v>
      </c>
      <c r="K30" s="15">
        <f>A2.3.1!K25</f>
        <v>0</v>
      </c>
      <c r="L30" s="15">
        <f>A2.3.1!L25</f>
        <v>795.43801599999995</v>
      </c>
      <c r="M30" s="19">
        <f>A2.3.1!M25</f>
        <v>23924</v>
      </c>
      <c r="N30" s="15">
        <f>A2.3.1!N25</f>
        <v>0</v>
      </c>
      <c r="O30" s="24">
        <f>A2.3.1!O25</f>
        <v>989.66187500000001</v>
      </c>
    </row>
    <row r="31" spans="1:15" ht="12.75" customHeight="1">
      <c r="A31" s="49"/>
      <c r="B31" s="133" t="s">
        <v>132</v>
      </c>
      <c r="C31" s="16"/>
      <c r="D31" s="19">
        <f>A2.3.1!D29</f>
        <v>33977.263129790845</v>
      </c>
      <c r="E31" s="15">
        <f>A2.3.1!E29</f>
        <v>0</v>
      </c>
      <c r="F31" s="15">
        <f>A2.3.1!F29</f>
        <v>1030.9127396849631</v>
      </c>
      <c r="G31" s="19">
        <f>A2.3.1!G29</f>
        <v>36426.125962811529</v>
      </c>
      <c r="H31" s="15">
        <f>A2.3.1!H29</f>
        <v>0</v>
      </c>
      <c r="I31" s="15">
        <f>A2.3.1!I29</f>
        <v>1175.7567086988392</v>
      </c>
      <c r="J31" s="19">
        <f>A2.3.1!J29</f>
        <v>34650</v>
      </c>
      <c r="K31" s="15">
        <f>A2.3.1!K29</f>
        <v>0</v>
      </c>
      <c r="L31" s="15">
        <f>A2.3.1!L29</f>
        <v>1108.375417</v>
      </c>
      <c r="M31" s="19">
        <f>A2.3.1!M29</f>
        <v>37269</v>
      </c>
      <c r="N31" s="15">
        <f>A2.3.1!N29</f>
        <v>0</v>
      </c>
      <c r="O31" s="24">
        <f>A2.3.1!O29</f>
        <v>1255.946641</v>
      </c>
    </row>
    <row r="32" spans="1:15" s="41" customFormat="1" ht="12.75" customHeight="1">
      <c r="A32" s="130"/>
      <c r="B32" s="131" t="s">
        <v>167</v>
      </c>
      <c r="C32" s="132"/>
      <c r="D32" s="128">
        <f t="shared" ref="D32:O32" si="2">SUM(D33:D36)</f>
        <v>2498919.2593030878</v>
      </c>
      <c r="E32" s="95">
        <f t="shared" si="2"/>
        <v>0</v>
      </c>
      <c r="F32" s="95">
        <f t="shared" si="2"/>
        <v>93099.656984990201</v>
      </c>
      <c r="G32" s="128">
        <f t="shared" si="2"/>
        <v>2679025.3047326682</v>
      </c>
      <c r="H32" s="95">
        <f t="shared" si="2"/>
        <v>0</v>
      </c>
      <c r="I32" s="95">
        <f t="shared" si="2"/>
        <v>106180.22463386542</v>
      </c>
      <c r="J32" s="128">
        <f t="shared" si="2"/>
        <v>2622067</v>
      </c>
      <c r="K32" s="95">
        <f t="shared" si="2"/>
        <v>0</v>
      </c>
      <c r="L32" s="95">
        <f t="shared" si="2"/>
        <v>101923.41881199999</v>
      </c>
      <c r="M32" s="128">
        <f t="shared" si="2"/>
        <v>2741016</v>
      </c>
      <c r="N32" s="95">
        <f t="shared" si="2"/>
        <v>0</v>
      </c>
      <c r="O32" s="129">
        <f t="shared" si="2"/>
        <v>113422.01620699999</v>
      </c>
    </row>
    <row r="33" spans="1:15" ht="12.75" customHeight="1">
      <c r="A33" s="49"/>
      <c r="B33" s="133" t="s">
        <v>117</v>
      </c>
      <c r="C33" s="16"/>
      <c r="D33" s="19">
        <f>A2.3.1!D4</f>
        <v>758041.50163464597</v>
      </c>
      <c r="E33" s="15">
        <f>A2.3.1!E4</f>
        <v>0</v>
      </c>
      <c r="F33" s="15">
        <f>A2.3.1!F4</f>
        <v>30169.222438286422</v>
      </c>
      <c r="G33" s="19">
        <f>A2.3.1!G4</f>
        <v>812676.26289099501</v>
      </c>
      <c r="H33" s="15">
        <f>A2.3.1!H4</f>
        <v>0</v>
      </c>
      <c r="I33" s="15">
        <f>A2.3.1!I4</f>
        <v>34408.019527319659</v>
      </c>
      <c r="J33" s="19">
        <f>A2.3.1!J4</f>
        <v>814262</v>
      </c>
      <c r="K33" s="15">
        <f>A2.3.1!K4</f>
        <v>0</v>
      </c>
      <c r="L33" s="15">
        <f>A2.3.1!L4</f>
        <v>33919.731914000004</v>
      </c>
      <c r="M33" s="19">
        <f>A2.3.1!M4</f>
        <v>831481</v>
      </c>
      <c r="N33" s="15">
        <f>A2.3.1!N4</f>
        <v>0</v>
      </c>
      <c r="O33" s="24">
        <f>A2.3.1!O4</f>
        <v>36754.743756999997</v>
      </c>
    </row>
    <row r="34" spans="1:15" ht="12.75" customHeight="1">
      <c r="A34" s="49"/>
      <c r="B34" s="133" t="s">
        <v>143</v>
      </c>
      <c r="C34" s="16"/>
      <c r="D34" s="19">
        <f>A2.3.1!D14</f>
        <v>1111430.0181144327</v>
      </c>
      <c r="E34" s="15">
        <f>A2.3.1!E14</f>
        <v>0</v>
      </c>
      <c r="F34" s="15">
        <f>A2.3.1!F14</f>
        <v>48550.270286460516</v>
      </c>
      <c r="G34" s="19">
        <f>A2.3.1!G14</f>
        <v>1191534.7532270604</v>
      </c>
      <c r="H34" s="15">
        <f>A2.3.1!H14</f>
        <v>0</v>
      </c>
      <c r="I34" s="15">
        <f>A2.3.1!I14</f>
        <v>55371.617597714408</v>
      </c>
      <c r="J34" s="19">
        <f>A2.3.1!J14</f>
        <v>1199071</v>
      </c>
      <c r="K34" s="15">
        <f>A2.3.1!K14</f>
        <v>0</v>
      </c>
      <c r="L34" s="15">
        <f>A2.3.1!L14</f>
        <v>53827.035215999997</v>
      </c>
      <c r="M34" s="19">
        <f>A2.3.1!M14</f>
        <v>1219106</v>
      </c>
      <c r="N34" s="15">
        <f>A2.3.1!N14</f>
        <v>0</v>
      </c>
      <c r="O34" s="24">
        <f>A2.3.1!O14</f>
        <v>59148.118496000003</v>
      </c>
    </row>
    <row r="35" spans="1:15" ht="12.75" customHeight="1">
      <c r="A35" s="49"/>
      <c r="B35" s="133" t="s">
        <v>123</v>
      </c>
      <c r="C35" s="16"/>
      <c r="D35" s="19">
        <f>A2.3.1!D17</f>
        <v>625349.75469344365</v>
      </c>
      <c r="E35" s="15">
        <f>A2.3.1!E17</f>
        <v>0</v>
      </c>
      <c r="F35" s="15">
        <f>A2.3.1!F17</f>
        <v>14204.23544399461</v>
      </c>
      <c r="G35" s="19">
        <f>A2.3.1!G17</f>
        <v>670420.94733357918</v>
      </c>
      <c r="H35" s="15">
        <f>A2.3.1!H17</f>
        <v>0</v>
      </c>
      <c r="I35" s="15">
        <f>A2.3.1!I17</f>
        <v>16199.940569478344</v>
      </c>
      <c r="J35" s="19">
        <f>A2.3.1!J17</f>
        <v>604151</v>
      </c>
      <c r="K35" s="15">
        <f>A2.3.1!K17</f>
        <v>0</v>
      </c>
      <c r="L35" s="15">
        <f>A2.3.1!L17</f>
        <v>13981.985671</v>
      </c>
      <c r="M35" s="19">
        <f>A2.3.1!M17</f>
        <v>685934</v>
      </c>
      <c r="N35" s="15">
        <f>A2.3.1!N17</f>
        <v>0</v>
      </c>
      <c r="O35" s="24">
        <f>A2.3.1!O17</f>
        <v>17304.822326000001</v>
      </c>
    </row>
    <row r="36" spans="1:15" ht="12.75" customHeight="1">
      <c r="A36" s="49"/>
      <c r="B36" s="133" t="s">
        <v>129</v>
      </c>
      <c r="C36" s="16"/>
      <c r="D36" s="19">
        <f>A2.3.1!D26</f>
        <v>4097.9848605653442</v>
      </c>
      <c r="E36" s="15">
        <f>A2.3.1!E26</f>
        <v>0</v>
      </c>
      <c r="F36" s="15">
        <f>A2.3.1!F26</f>
        <v>175.92881624866604</v>
      </c>
      <c r="G36" s="19">
        <f>A2.3.1!G26</f>
        <v>4393.3412810335085</v>
      </c>
      <c r="H36" s="15">
        <f>A2.3.1!H26</f>
        <v>0</v>
      </c>
      <c r="I36" s="15">
        <f>A2.3.1!I26</f>
        <v>200.64693935301031</v>
      </c>
      <c r="J36" s="19">
        <f>A2.3.1!J26</f>
        <v>4583</v>
      </c>
      <c r="K36" s="15">
        <f>A2.3.1!K26</f>
        <v>0</v>
      </c>
      <c r="L36" s="15">
        <f>A2.3.1!L26</f>
        <v>194.666011</v>
      </c>
      <c r="M36" s="19">
        <f>A2.3.1!M26</f>
        <v>4495</v>
      </c>
      <c r="N36" s="15">
        <f>A2.3.1!N26</f>
        <v>0</v>
      </c>
      <c r="O36" s="24">
        <f>A2.3.1!O26</f>
        <v>214.33162799999999</v>
      </c>
    </row>
    <row r="37" spans="1:15" s="41" customFormat="1" ht="12.75" customHeight="1">
      <c r="A37" s="130"/>
      <c r="B37" s="131" t="s">
        <v>134</v>
      </c>
      <c r="C37" s="132"/>
      <c r="D37" s="128">
        <f>A2.3.1!D33</f>
        <v>127922.76834150987</v>
      </c>
      <c r="E37" s="95">
        <f>A2.3.1!E33</f>
        <v>0</v>
      </c>
      <c r="F37" s="95">
        <f>A2.3.1!F33</f>
        <v>5020.5164720714984</v>
      </c>
      <c r="G37" s="128">
        <f>A2.3.1!G33</f>
        <v>137142.61961946558</v>
      </c>
      <c r="H37" s="95">
        <f>A2.3.1!H33</f>
        <v>0</v>
      </c>
      <c r="I37" s="95">
        <f>A2.3.1!I33</f>
        <v>5725.902587036574</v>
      </c>
      <c r="J37" s="128">
        <f>A2.3.1!J33</f>
        <v>116706</v>
      </c>
      <c r="K37" s="95">
        <f>A2.3.1!K33</f>
        <v>0</v>
      </c>
      <c r="L37" s="95">
        <f>A2.3.1!L33</f>
        <v>4865.6108690000001</v>
      </c>
      <c r="M37" s="128">
        <f>A2.3.1!M33</f>
        <v>140316</v>
      </c>
      <c r="N37" s="95">
        <f>A2.3.1!N33</f>
        <v>0</v>
      </c>
      <c r="O37" s="129">
        <f>A2.3.1!O33</f>
        <v>6116.4253349999999</v>
      </c>
    </row>
    <row r="38" spans="1:15" s="41" customFormat="1" ht="12.75" customHeight="1">
      <c r="A38" s="130"/>
      <c r="B38" s="131" t="s">
        <v>166</v>
      </c>
      <c r="C38" s="132"/>
      <c r="D38" s="128">
        <f t="shared" ref="D38:O38" si="3">SUM(D39:D43)</f>
        <v>566019.68600470689</v>
      </c>
      <c r="E38" s="95">
        <f t="shared" si="3"/>
        <v>0</v>
      </c>
      <c r="F38" s="95">
        <f t="shared" si="3"/>
        <v>14479.13259611023</v>
      </c>
      <c r="G38" s="128">
        <f t="shared" si="3"/>
        <v>606814.74847104331</v>
      </c>
      <c r="H38" s="95">
        <f t="shared" si="3"/>
        <v>0</v>
      </c>
      <c r="I38" s="95">
        <f t="shared" si="3"/>
        <v>16513.460965880578</v>
      </c>
      <c r="J38" s="128">
        <f t="shared" si="3"/>
        <v>856985</v>
      </c>
      <c r="K38" s="95">
        <f t="shared" si="3"/>
        <v>0</v>
      </c>
      <c r="L38" s="95">
        <f t="shared" si="3"/>
        <v>23032.508759</v>
      </c>
      <c r="M38" s="128">
        <f t="shared" si="3"/>
        <v>620856</v>
      </c>
      <c r="N38" s="95">
        <f t="shared" si="3"/>
        <v>0</v>
      </c>
      <c r="O38" s="129">
        <f t="shared" si="3"/>
        <v>17639.725700000003</v>
      </c>
    </row>
    <row r="39" spans="1:15" ht="12.75" customHeight="1">
      <c r="A39" s="49"/>
      <c r="B39" s="133" t="s">
        <v>119</v>
      </c>
      <c r="C39" s="16"/>
      <c r="D39" s="19">
        <f>A2.3.1!D7</f>
        <v>21698.807044786601</v>
      </c>
      <c r="E39" s="15">
        <f>A2.3.1!E7</f>
        <v>0</v>
      </c>
      <c r="F39" s="15">
        <f>A2.3.1!F7</f>
        <v>511.13003337337909</v>
      </c>
      <c r="G39" s="19">
        <f>A2.3.1!G7</f>
        <v>23262.717648471309</v>
      </c>
      <c r="H39" s="15">
        <f>A2.3.1!H7</f>
        <v>0</v>
      </c>
      <c r="I39" s="15">
        <f>A2.3.1!I7</f>
        <v>582.94416454671136</v>
      </c>
      <c r="J39" s="19">
        <f>A2.3.1!J7</f>
        <v>22699</v>
      </c>
      <c r="K39" s="15">
        <f>A2.3.1!K7</f>
        <v>0</v>
      </c>
      <c r="L39" s="15">
        <f>A2.3.1!L7</f>
        <v>574.40139099999999</v>
      </c>
      <c r="M39" s="19">
        <f>A2.3.1!M7</f>
        <v>23801</v>
      </c>
      <c r="N39" s="15">
        <f>A2.3.1!N7</f>
        <v>0</v>
      </c>
      <c r="O39" s="24">
        <f>A2.3.1!O7</f>
        <v>622.70260499999995</v>
      </c>
    </row>
    <row r="40" spans="1:15" ht="12.75" customHeight="1">
      <c r="A40" s="49"/>
      <c r="B40" s="133" t="s">
        <v>130</v>
      </c>
      <c r="C40" s="16"/>
      <c r="D40" s="19">
        <f>A2.3.1!D27</f>
        <v>400921.49415724084</v>
      </c>
      <c r="E40" s="15">
        <f>A2.3.1!E27</f>
        <v>0</v>
      </c>
      <c r="F40" s="15">
        <f>A2.3.1!F27</f>
        <v>8170.2405264810477</v>
      </c>
      <c r="G40" s="19">
        <f>A2.3.1!G27</f>
        <v>429817.33965987514</v>
      </c>
      <c r="H40" s="15">
        <f>A2.3.1!H27</f>
        <v>0</v>
      </c>
      <c r="I40" s="15">
        <f>A2.3.1!I27</f>
        <v>9318.1650986569384</v>
      </c>
      <c r="J40" s="19">
        <f>A2.3.1!J27</f>
        <v>683089</v>
      </c>
      <c r="K40" s="15">
        <f>A2.3.1!K27</f>
        <v>0</v>
      </c>
      <c r="L40" s="15">
        <f>A2.3.1!L27</f>
        <v>15742.476928</v>
      </c>
      <c r="M40" s="19">
        <f>A2.3.1!M27</f>
        <v>439763</v>
      </c>
      <c r="N40" s="15">
        <f>A2.3.1!N27</f>
        <v>0</v>
      </c>
      <c r="O40" s="24">
        <f>A2.3.1!O27</f>
        <v>9953.6903079999993</v>
      </c>
    </row>
    <row r="41" spans="1:15" ht="12.75" customHeight="1">
      <c r="A41" s="49"/>
      <c r="B41" s="133" t="s">
        <v>138</v>
      </c>
      <c r="C41" s="16"/>
      <c r="D41" s="19">
        <f>A2.3.1!D30</f>
        <v>16430.229845852868</v>
      </c>
      <c r="E41" s="15">
        <f>A2.3.1!E30</f>
        <v>0</v>
      </c>
      <c r="F41" s="15">
        <f>A2.3.1!F30</f>
        <v>578.52832127323677</v>
      </c>
      <c r="G41" s="19">
        <f>A2.3.1!G30</f>
        <v>17614.415254012434</v>
      </c>
      <c r="H41" s="15">
        <f>A2.3.1!H30</f>
        <v>0</v>
      </c>
      <c r="I41" s="15">
        <f>A2.3.1!I30</f>
        <v>659.81195956231045</v>
      </c>
      <c r="J41" s="19">
        <f>A2.3.1!J30</f>
        <v>18215</v>
      </c>
      <c r="K41" s="15">
        <f>A2.3.1!K30</f>
        <v>0</v>
      </c>
      <c r="L41" s="15">
        <f>A2.3.1!L30</f>
        <v>639.42565200000001</v>
      </c>
      <c r="M41" s="19">
        <f>A2.3.1!M30</f>
        <v>18022</v>
      </c>
      <c r="N41" s="15">
        <f>A2.3.1!N30</f>
        <v>0</v>
      </c>
      <c r="O41" s="24">
        <f>A2.3.1!O30</f>
        <v>704.81300099999999</v>
      </c>
    </row>
    <row r="42" spans="1:15" ht="12.75" customHeight="1">
      <c r="A42" s="49"/>
      <c r="B42" s="133" t="s">
        <v>147</v>
      </c>
      <c r="C42" s="16"/>
      <c r="D42" s="19">
        <f>A2.3.1!D34</f>
        <v>44529.916024350096</v>
      </c>
      <c r="E42" s="15">
        <f>A2.3.1!E34</f>
        <v>0</v>
      </c>
      <c r="F42" s="15">
        <f>A2.3.1!F34</f>
        <v>1636.14782755429</v>
      </c>
      <c r="G42" s="19">
        <f>A2.3.1!G34</f>
        <v>47739.346280489583</v>
      </c>
      <c r="H42" s="15">
        <f>A2.3.1!H34</f>
        <v>0</v>
      </c>
      <c r="I42" s="15">
        <f>A2.3.1!I34</f>
        <v>1866.0277544517064</v>
      </c>
      <c r="J42" s="19">
        <f>A2.3.1!J34</f>
        <v>47857</v>
      </c>
      <c r="K42" s="15">
        <f>A2.3.1!K34</f>
        <v>0</v>
      </c>
      <c r="L42" s="15">
        <f>A2.3.1!L34</f>
        <v>1809.5293369999999</v>
      </c>
      <c r="M42" s="19">
        <f>A2.3.1!M34</f>
        <v>48844</v>
      </c>
      <c r="N42" s="15">
        <f>A2.3.1!N34</f>
        <v>0</v>
      </c>
      <c r="O42" s="24">
        <f>A2.3.1!O34</f>
        <v>1993.296124</v>
      </c>
    </row>
    <row r="43" spans="1:15" ht="12.75" customHeight="1">
      <c r="A43" s="49"/>
      <c r="B43" s="133" t="s">
        <v>135</v>
      </c>
      <c r="C43" s="16"/>
      <c r="D43" s="19">
        <f>A2.3.1!D35</f>
        <v>82439.238932476495</v>
      </c>
      <c r="E43" s="15">
        <f>A2.3.1!E35</f>
        <v>0</v>
      </c>
      <c r="F43" s="15">
        <f>A2.3.1!F35</f>
        <v>3583.0858874282758</v>
      </c>
      <c r="G43" s="19">
        <f>A2.3.1!G35</f>
        <v>88380.929628194892</v>
      </c>
      <c r="H43" s="15">
        <f>A2.3.1!H35</f>
        <v>0</v>
      </c>
      <c r="I43" s="15">
        <f>A2.3.1!I35</f>
        <v>4086.5119886629118</v>
      </c>
      <c r="J43" s="19">
        <f>A2.3.1!J35</f>
        <v>85125</v>
      </c>
      <c r="K43" s="15">
        <f>A2.3.1!K35</f>
        <v>0</v>
      </c>
      <c r="L43" s="15">
        <f>A2.3.1!L35</f>
        <v>4266.6754510000001</v>
      </c>
      <c r="M43" s="19">
        <f>A2.3.1!M35</f>
        <v>90426</v>
      </c>
      <c r="N43" s="15">
        <f>A2.3.1!N35</f>
        <v>0</v>
      </c>
      <c r="O43" s="24">
        <f>A2.3.1!O35</f>
        <v>4365.2236620000003</v>
      </c>
    </row>
    <row r="44" spans="1:15" customFormat="1" ht="12.75" customHeight="1">
      <c r="A44" s="26"/>
      <c r="B44" s="132" t="s">
        <v>1</v>
      </c>
      <c r="C44" s="27"/>
      <c r="D44" s="128">
        <f>A2.3.1!D37</f>
        <v>120309.35976073542</v>
      </c>
      <c r="E44" s="95">
        <f>A2.3.1!E37</f>
        <v>0</v>
      </c>
      <c r="F44" s="95">
        <f>A2.3.1!F37</f>
        <v>2053.4042479662726</v>
      </c>
      <c r="G44" s="128">
        <f>A2.3.1!G37</f>
        <v>128980.48546197706</v>
      </c>
      <c r="H44" s="95">
        <f>A2.3.1!H37</f>
        <v>0</v>
      </c>
      <c r="I44" s="95">
        <f>A2.3.1!I37</f>
        <v>2341.9089970260989</v>
      </c>
      <c r="J44" s="128">
        <f>A2.3.1!J37</f>
        <v>156990</v>
      </c>
      <c r="K44" s="95">
        <f>A2.3.1!K37</f>
        <v>-690231.23948099988</v>
      </c>
      <c r="L44" s="95">
        <f>A2.3.1!L37</f>
        <v>2966.9725530000001</v>
      </c>
      <c r="M44" s="128">
        <f>A2.3.1!M37</f>
        <v>131965</v>
      </c>
      <c r="N44" s="95">
        <f>A2.3.1!N37</f>
        <v>-690231.23948099988</v>
      </c>
      <c r="O44" s="129">
        <f>A2.3.1!O37</f>
        <v>2501.6338129999999</v>
      </c>
    </row>
    <row r="45" spans="1:15" customFormat="1" ht="12.75" customHeight="1">
      <c r="A45" s="88"/>
      <c r="B45" s="75" t="s">
        <v>9</v>
      </c>
      <c r="C45" s="89"/>
      <c r="D45" s="20">
        <f t="shared" ref="D45" si="4">D5+D6+D10+D9+D8+D38+D37+D32+D26+D44</f>
        <v>4123231.0000000009</v>
      </c>
      <c r="E45" s="18">
        <f t="shared" ref="E45:O45" si="5">E5+E6+E10+E9+E8+E38+E37+E32+E26+E44</f>
        <v>0</v>
      </c>
      <c r="F45" s="18">
        <f t="shared" si="5"/>
        <v>149523.96105899996</v>
      </c>
      <c r="G45" s="20">
        <f t="shared" si="5"/>
        <v>4420407</v>
      </c>
      <c r="H45" s="18">
        <f t="shared" si="5"/>
        <v>0</v>
      </c>
      <c r="I45" s="18">
        <f t="shared" si="5"/>
        <v>170532.18333500001</v>
      </c>
      <c r="J45" s="20">
        <f t="shared" si="5"/>
        <v>4584519</v>
      </c>
      <c r="K45" s="18">
        <f t="shared" si="5"/>
        <v>-690231.23948099988</v>
      </c>
      <c r="L45" s="18">
        <f t="shared" si="5"/>
        <v>170551.41920399998</v>
      </c>
      <c r="M45" s="20">
        <f t="shared" si="5"/>
        <v>4522692</v>
      </c>
      <c r="N45" s="18">
        <f t="shared" si="5"/>
        <v>-690231.23948099988</v>
      </c>
      <c r="O45" s="25">
        <f t="shared" si="5"/>
        <v>182162.960464</v>
      </c>
    </row>
    <row r="46" spans="1:15" customFormat="1" ht="10.5" customHeight="1">
      <c r="A46" s="1"/>
      <c r="B46" s="29" t="s">
        <v>413</v>
      </c>
      <c r="C46" s="1"/>
      <c r="D46" s="1"/>
      <c r="E46" s="1"/>
      <c r="F46" s="1"/>
      <c r="G46" s="1"/>
      <c r="H46" s="1"/>
      <c r="I46" s="1"/>
      <c r="J46" s="1"/>
      <c r="K46" s="1"/>
      <c r="L46" s="1"/>
      <c r="M46" s="1"/>
      <c r="N46" s="1"/>
      <c r="O46" s="1"/>
    </row>
    <row r="47" spans="1:15" customFormat="1" ht="11.1" customHeight="1">
      <c r="A47" s="1"/>
      <c r="B47" s="29" t="s">
        <v>0</v>
      </c>
      <c r="C47" s="1"/>
      <c r="D47" s="1"/>
      <c r="E47" s="1"/>
      <c r="F47" s="1"/>
      <c r="G47" s="1"/>
      <c r="H47" s="1"/>
      <c r="I47" s="1"/>
      <c r="J47" s="1"/>
      <c r="K47" s="1"/>
      <c r="L47" s="1"/>
      <c r="M47" s="1"/>
      <c r="N47" s="1"/>
      <c r="O47" s="1"/>
    </row>
    <row r="48" spans="1:15" customFormat="1" ht="13.35" customHeight="1">
      <c r="D48" s="52"/>
      <c r="E48" s="52"/>
      <c r="J48" s="1"/>
      <c r="K48" s="1"/>
    </row>
    <row r="49" spans="1:15" customFormat="1" ht="13.35" customHeight="1">
      <c r="F49" s="560" t="s">
        <v>506</v>
      </c>
      <c r="J49" s="1"/>
      <c r="K49" s="1"/>
    </row>
    <row r="50" spans="1:15" customFormat="1" ht="13.35" customHeight="1">
      <c r="J50" s="1"/>
      <c r="K50" s="1"/>
    </row>
    <row r="51" spans="1:15" s="21" customFormat="1" ht="13.35" customHeight="1">
      <c r="A51" s="3"/>
      <c r="B51" s="17"/>
      <c r="C51" s="123" t="s">
        <v>188</v>
      </c>
      <c r="D51" s="124">
        <f>D45-A2.1.1!D29</f>
        <v>0</v>
      </c>
      <c r="E51" s="124"/>
      <c r="F51" s="124">
        <f>F45-A2.1.1!F29</f>
        <v>-8.0000318121165037E-6</v>
      </c>
      <c r="G51" s="124">
        <f>G45-A2.1.1!G29</f>
        <v>0</v>
      </c>
      <c r="H51" s="124"/>
      <c r="I51" s="124">
        <f>I45-A2.1.1!I29</f>
        <v>3.1999981729313731E-5</v>
      </c>
      <c r="J51" s="124">
        <f>J45-A2.1.1!J29</f>
        <v>0</v>
      </c>
      <c r="K51" s="124"/>
      <c r="L51" s="124">
        <f>L45-A2.1.1!L29</f>
        <v>5.0999922677874565E-5</v>
      </c>
      <c r="M51" s="124">
        <f>M45-A2.1.1!M29</f>
        <v>0</v>
      </c>
      <c r="N51" s="124"/>
      <c r="O51" s="125">
        <f>O45-A2.1.1!O29</f>
        <v>1.6999983927235007E-5</v>
      </c>
    </row>
    <row r="52" spans="1:15" customFormat="1" ht="13.35" customHeight="1">
      <c r="J52" s="1"/>
      <c r="K52" s="1"/>
    </row>
  </sheetData>
  <mergeCells count="1">
    <mergeCell ref="B3:C3"/>
  </mergeCells>
  <phoneticPr fontId="7" type="noConversion"/>
  <hyperlinks>
    <hyperlink ref="F49" location="CONTENTS!A1" display="BACK TO CONTENTS"/>
  </hyperlinks>
  <pageMargins left="0.98425196850393704" right="0.98425196850393704" top="0.98425196850393704" bottom="0.98425196850393704" header="0.51181102362204722" footer="0.51181102362204722"/>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9" enableFormatConditionsCalculation="0">
    <pageSetUpPr fitToPage="1"/>
  </sheetPr>
  <dimension ref="A1:J17"/>
  <sheetViews>
    <sheetView showGridLines="0" zoomScaleNormal="100" zoomScaleSheetLayoutView="90" workbookViewId="0"/>
  </sheetViews>
  <sheetFormatPr defaultColWidth="9.140625" defaultRowHeight="12.75"/>
  <cols>
    <col min="1" max="1" width="3.7109375" customWidth="1"/>
    <col min="2" max="2" width="15.28515625" style="2" customWidth="1"/>
    <col min="3" max="3" width="9.7109375" style="2" customWidth="1"/>
    <col min="4" max="4" width="1.7109375" style="2" customWidth="1"/>
    <col min="5" max="6" width="9.7109375" style="2" customWidth="1"/>
    <col min="7" max="7" width="1.7109375" style="2" customWidth="1"/>
    <col min="8" max="8" width="9.7109375" style="6" customWidth="1"/>
    <col min="9" max="10" width="11.28515625" style="6" customWidth="1"/>
    <col min="11" max="16384" width="9.140625" style="10"/>
  </cols>
  <sheetData>
    <row r="1" spans="1:10" customFormat="1" ht="15" customHeight="1">
      <c r="B1" s="455" t="s">
        <v>507</v>
      </c>
      <c r="C1" s="53"/>
      <c r="D1" s="53"/>
      <c r="E1" s="78"/>
      <c r="F1" s="78"/>
      <c r="G1" s="314"/>
      <c r="H1" s="4"/>
      <c r="I1" s="1"/>
      <c r="J1" s="1"/>
    </row>
    <row r="2" spans="1:10" customFormat="1" ht="33.75">
      <c r="A2" s="456"/>
      <c r="B2" s="496" t="s">
        <v>237</v>
      </c>
      <c r="C2" s="486">
        <v>2008</v>
      </c>
      <c r="D2" s="486"/>
      <c r="E2" s="490"/>
      <c r="F2" s="486">
        <v>2011</v>
      </c>
      <c r="G2" s="486"/>
      <c r="H2" s="490"/>
      <c r="I2" s="487" t="s">
        <v>153</v>
      </c>
      <c r="J2" s="487" t="s">
        <v>154</v>
      </c>
    </row>
    <row r="3" spans="1:10" customFormat="1" ht="13.35" customHeight="1">
      <c r="A3" s="49"/>
      <c r="B3" s="497" t="s">
        <v>158</v>
      </c>
      <c r="C3" s="37" t="s">
        <v>355</v>
      </c>
      <c r="D3" s="37" t="s">
        <v>156</v>
      </c>
      <c r="E3" s="491">
        <v>112500</v>
      </c>
      <c r="F3" s="37" t="s">
        <v>355</v>
      </c>
      <c r="G3" s="37" t="s">
        <v>156</v>
      </c>
      <c r="H3" s="491">
        <v>140000</v>
      </c>
      <c r="I3" s="488">
        <v>0.18</v>
      </c>
      <c r="J3" s="39">
        <f>H3/E3-1</f>
        <v>0.24444444444444446</v>
      </c>
    </row>
    <row r="4" spans="1:10" customFormat="1" ht="13.35" customHeight="1">
      <c r="A4" s="49"/>
      <c r="B4" s="498"/>
      <c r="C4" s="38">
        <f>E3+1</f>
        <v>112501</v>
      </c>
      <c r="D4" s="38" t="s">
        <v>156</v>
      </c>
      <c r="E4" s="491">
        <v>180000</v>
      </c>
      <c r="F4" s="38">
        <f>H3+1</f>
        <v>140001</v>
      </c>
      <c r="G4" s="38" t="s">
        <v>156</v>
      </c>
      <c r="H4" s="491">
        <v>221000</v>
      </c>
      <c r="I4" s="488">
        <v>0.25</v>
      </c>
      <c r="J4" s="39">
        <f t="shared" ref="J4:J14" si="0">H4/E4-1</f>
        <v>0.22777777777777786</v>
      </c>
    </row>
    <row r="5" spans="1:10" customFormat="1" ht="13.35" customHeight="1">
      <c r="A5" s="49"/>
      <c r="B5" s="498"/>
      <c r="C5" s="38">
        <f>E4+1</f>
        <v>180001</v>
      </c>
      <c r="D5" s="38" t="s">
        <v>156</v>
      </c>
      <c r="E5" s="491">
        <v>250000</v>
      </c>
      <c r="F5" s="38">
        <f>H4+1</f>
        <v>221001</v>
      </c>
      <c r="G5" s="38" t="s">
        <v>156</v>
      </c>
      <c r="H5" s="491">
        <v>305000</v>
      </c>
      <c r="I5" s="488">
        <v>0.3</v>
      </c>
      <c r="J5" s="39">
        <f t="shared" si="0"/>
        <v>0.21999999999999997</v>
      </c>
    </row>
    <row r="6" spans="1:10" customFormat="1" ht="13.35" customHeight="1">
      <c r="A6" s="49"/>
      <c r="B6" s="498"/>
      <c r="C6" s="38">
        <f>E5+1</f>
        <v>250001</v>
      </c>
      <c r="D6" s="38" t="s">
        <v>156</v>
      </c>
      <c r="E6" s="491">
        <v>350000</v>
      </c>
      <c r="F6" s="38">
        <f>H5+1</f>
        <v>305001</v>
      </c>
      <c r="G6" s="38" t="s">
        <v>156</v>
      </c>
      <c r="H6" s="491">
        <v>431000</v>
      </c>
      <c r="I6" s="488">
        <v>0.35</v>
      </c>
      <c r="J6" s="39">
        <f>H6/E6-1</f>
        <v>0.23142857142857154</v>
      </c>
    </row>
    <row r="7" spans="1:10" customFormat="1" ht="13.35" customHeight="1">
      <c r="A7" s="49"/>
      <c r="B7" s="498"/>
      <c r="C7" s="38">
        <f>E6+1</f>
        <v>350001</v>
      </c>
      <c r="D7" s="38" t="s">
        <v>156</v>
      </c>
      <c r="E7" s="491">
        <v>450000</v>
      </c>
      <c r="F7" s="38">
        <f>H6+1</f>
        <v>431001</v>
      </c>
      <c r="G7" s="38" t="s">
        <v>156</v>
      </c>
      <c r="H7" s="491">
        <v>552000</v>
      </c>
      <c r="I7" s="488">
        <v>0.38</v>
      </c>
      <c r="J7" s="39">
        <f>H7/E7-1</f>
        <v>0.22666666666666657</v>
      </c>
    </row>
    <row r="8" spans="1:10" customFormat="1" ht="13.35" customHeight="1">
      <c r="A8" s="49"/>
      <c r="B8" s="499"/>
      <c r="C8" s="40">
        <f>E7+1</f>
        <v>450001</v>
      </c>
      <c r="D8" s="40"/>
      <c r="E8" s="495" t="s">
        <v>155</v>
      </c>
      <c r="F8" s="40">
        <f>H7+1</f>
        <v>552001</v>
      </c>
      <c r="G8" s="40"/>
      <c r="H8" s="492" t="s">
        <v>155</v>
      </c>
      <c r="I8" s="489">
        <v>0.4</v>
      </c>
      <c r="J8" s="485"/>
    </row>
    <row r="9" spans="1:10" customFormat="1" ht="13.35" customHeight="1">
      <c r="A9" s="457"/>
      <c r="B9" s="497" t="s">
        <v>157</v>
      </c>
      <c r="C9" s="81"/>
      <c r="D9" s="81"/>
      <c r="E9" s="82"/>
      <c r="F9" s="81"/>
      <c r="G9" s="81"/>
      <c r="H9" s="82"/>
      <c r="I9" s="82"/>
      <c r="J9" s="82"/>
    </row>
    <row r="10" spans="1:10" customFormat="1" ht="13.35" customHeight="1">
      <c r="A10" s="456"/>
      <c r="B10" s="500" t="s">
        <v>159</v>
      </c>
      <c r="C10" s="38"/>
      <c r="D10" s="38"/>
      <c r="E10" s="493">
        <v>7740</v>
      </c>
      <c r="F10" s="38"/>
      <c r="G10" s="38"/>
      <c r="H10" s="493">
        <v>10260</v>
      </c>
      <c r="I10" s="488"/>
      <c r="J10" s="39">
        <f>H10/E10-1</f>
        <v>0.32558139534883712</v>
      </c>
    </row>
    <row r="11" spans="1:10" customFormat="1" ht="13.35" customHeight="1">
      <c r="A11" s="456"/>
      <c r="B11" s="500" t="s">
        <v>160</v>
      </c>
      <c r="C11" s="38"/>
      <c r="D11" s="38"/>
      <c r="E11" s="493">
        <v>4680</v>
      </c>
      <c r="F11" s="38"/>
      <c r="G11" s="38"/>
      <c r="H11" s="493">
        <v>5675</v>
      </c>
      <c r="I11" s="488"/>
      <c r="J11" s="39">
        <f t="shared" si="0"/>
        <v>0.21260683760683752</v>
      </c>
    </row>
    <row r="12" spans="1:10" customFormat="1" ht="13.35" customHeight="1">
      <c r="A12" s="456"/>
      <c r="B12" s="497" t="s">
        <v>161</v>
      </c>
      <c r="C12" s="38"/>
      <c r="D12" s="38"/>
      <c r="E12" s="493"/>
      <c r="F12" s="38"/>
      <c r="G12" s="38"/>
      <c r="H12" s="493"/>
      <c r="I12" s="488"/>
      <c r="J12" s="39"/>
    </row>
    <row r="13" spans="1:10" customFormat="1" ht="13.35" customHeight="1">
      <c r="A13" s="456"/>
      <c r="B13" s="500" t="s">
        <v>162</v>
      </c>
      <c r="C13" s="38"/>
      <c r="D13" s="38"/>
      <c r="E13" s="493">
        <v>43000</v>
      </c>
      <c r="F13" s="38"/>
      <c r="G13" s="38"/>
      <c r="H13" s="493">
        <v>57000</v>
      </c>
      <c r="I13" s="488"/>
      <c r="J13" s="39">
        <f t="shared" si="0"/>
        <v>0.32558139534883712</v>
      </c>
    </row>
    <row r="14" spans="1:10" customFormat="1" ht="13.35" customHeight="1">
      <c r="A14" s="456"/>
      <c r="B14" s="501" t="s">
        <v>163</v>
      </c>
      <c r="C14" s="40"/>
      <c r="D14" s="40"/>
      <c r="E14" s="494">
        <v>69000</v>
      </c>
      <c r="F14" s="40"/>
      <c r="G14" s="40"/>
      <c r="H14" s="494">
        <v>88528</v>
      </c>
      <c r="I14" s="489"/>
      <c r="J14" s="485">
        <f t="shared" si="0"/>
        <v>0.28301449275362311</v>
      </c>
    </row>
    <row r="15" spans="1:10" customFormat="1" ht="13.35" customHeight="1">
      <c r="A15" s="3"/>
      <c r="B15" s="2"/>
      <c r="C15" s="30"/>
      <c r="D15" s="30"/>
      <c r="E15" s="34"/>
      <c r="F15" s="30"/>
      <c r="G15" s="30"/>
      <c r="H15" s="34"/>
      <c r="I15" s="35"/>
      <c r="J15" s="36"/>
    </row>
    <row r="17" spans="5:5">
      <c r="E17" s="560" t="s">
        <v>506</v>
      </c>
    </row>
  </sheetData>
  <phoneticPr fontId="7" type="noConversion"/>
  <hyperlinks>
    <hyperlink ref="E17"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ignoredErrors>
    <ignoredError sqref="C3:F3" numberStoredAsText="1"/>
  </ignoredErrors>
</worksheet>
</file>

<file path=xl/worksheets/sheet30.xml><?xml version="1.0" encoding="utf-8"?>
<worksheet xmlns="http://schemas.openxmlformats.org/spreadsheetml/2006/main" xmlns:r="http://schemas.openxmlformats.org/officeDocument/2006/relationships">
  <sheetPr codeName="Sheet30" enableFormatConditionsCalculation="0">
    <pageSetUpPr fitToPage="1"/>
  </sheetPr>
  <dimension ref="A1:O57"/>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35.7109375" style="2" customWidth="1"/>
    <col min="4" max="6" width="10.140625" style="2" customWidth="1"/>
    <col min="7" max="7" width="10.140625" style="14" customWidth="1"/>
    <col min="8" max="8" width="10.140625" style="68" customWidth="1"/>
    <col min="9" max="15" width="10.140625" style="6" customWidth="1"/>
    <col min="16" max="16384" width="9.140625" style="10"/>
  </cols>
  <sheetData>
    <row r="1" spans="1:15" s="8" customFormat="1" ht="15" customHeight="1">
      <c r="A1" s="455" t="s">
        <v>450</v>
      </c>
      <c r="B1" s="455"/>
      <c r="C1" s="455"/>
      <c r="D1" s="564"/>
      <c r="E1" s="564"/>
      <c r="F1" s="78"/>
      <c r="G1" s="66"/>
      <c r="H1" s="66"/>
      <c r="I1" s="5"/>
      <c r="J1" s="4"/>
      <c r="K1" s="4"/>
      <c r="L1" s="4"/>
      <c r="M1" s="4"/>
      <c r="N1" s="4"/>
      <c r="O1" s="4"/>
    </row>
    <row r="2" spans="1:15" s="8" customFormat="1">
      <c r="A2" s="90"/>
      <c r="B2" s="91" t="s">
        <v>183</v>
      </c>
      <c r="C2" s="92"/>
      <c r="D2" s="84" t="s">
        <v>463</v>
      </c>
      <c r="E2" s="67"/>
      <c r="F2" s="67"/>
      <c r="G2" s="65" t="s">
        <v>464</v>
      </c>
      <c r="H2" s="67"/>
      <c r="I2" s="67"/>
      <c r="J2" s="65" t="s">
        <v>465</v>
      </c>
      <c r="K2" s="67"/>
      <c r="L2" s="67"/>
      <c r="M2" s="65" t="s">
        <v>466</v>
      </c>
      <c r="N2" s="67"/>
      <c r="O2" s="85"/>
    </row>
    <row r="3" spans="1:15" ht="33.75">
      <c r="A3" s="80"/>
      <c r="B3" s="706" t="s">
        <v>152</v>
      </c>
      <c r="C3" s="707"/>
      <c r="D3" s="32" t="s">
        <v>18</v>
      </c>
      <c r="E3" s="33" t="s">
        <v>68</v>
      </c>
      <c r="F3" s="33" t="s">
        <v>69</v>
      </c>
      <c r="G3" s="32" t="s">
        <v>18</v>
      </c>
      <c r="H3" s="33" t="s">
        <v>68</v>
      </c>
      <c r="I3" s="33" t="s">
        <v>69</v>
      </c>
      <c r="J3" s="32" t="s">
        <v>18</v>
      </c>
      <c r="K3" s="33" t="s">
        <v>68</v>
      </c>
      <c r="L3" s="33" t="s">
        <v>69</v>
      </c>
      <c r="M3" s="32" t="s">
        <v>18</v>
      </c>
      <c r="N3" s="33" t="s">
        <v>68</v>
      </c>
      <c r="O3" s="86" t="s">
        <v>69</v>
      </c>
    </row>
    <row r="4" spans="1:15" ht="13.35" customHeight="1">
      <c r="A4" s="49"/>
      <c r="B4" s="16" t="s">
        <v>117</v>
      </c>
      <c r="C4" s="16"/>
      <c r="D4" s="19">
        <v>48150.688230021471</v>
      </c>
      <c r="E4" s="15">
        <v>9857.3631573843686</v>
      </c>
      <c r="F4" s="15">
        <v>3020.2552233806223</v>
      </c>
      <c r="G4" s="19">
        <v>42609.483327195536</v>
      </c>
      <c r="H4" s="15">
        <v>8764.3610386947239</v>
      </c>
      <c r="I4" s="15">
        <v>2799.4522656429826</v>
      </c>
      <c r="J4" s="19">
        <v>37795</v>
      </c>
      <c r="K4" s="15">
        <v>8595.3215779999991</v>
      </c>
      <c r="L4" s="15">
        <v>2618.2355419999999</v>
      </c>
      <c r="M4" s="19">
        <v>37492</v>
      </c>
      <c r="N4" s="15">
        <v>9609.7383559999998</v>
      </c>
      <c r="O4" s="24">
        <v>2909.7516150000001</v>
      </c>
    </row>
    <row r="5" spans="1:15" ht="13.35" customHeight="1">
      <c r="A5" s="49"/>
      <c r="B5" s="16" t="s">
        <v>151</v>
      </c>
      <c r="C5" s="16"/>
      <c r="D5" s="19">
        <v>15794.227137864185</v>
      </c>
      <c r="E5" s="15">
        <v>-1681.9691454869505</v>
      </c>
      <c r="F5" s="15">
        <v>389.86440245759417</v>
      </c>
      <c r="G5" s="19">
        <v>13976.619704412959</v>
      </c>
      <c r="H5" s="15">
        <v>-1495.4693878706689</v>
      </c>
      <c r="I5" s="15">
        <v>361.36243596388175</v>
      </c>
      <c r="J5" s="19">
        <v>13774</v>
      </c>
      <c r="K5" s="15">
        <v>-1768.956064</v>
      </c>
      <c r="L5" s="15">
        <v>367.23408899999998</v>
      </c>
      <c r="M5" s="19">
        <v>12298</v>
      </c>
      <c r="N5" s="15">
        <v>-1639.716743</v>
      </c>
      <c r="O5" s="24">
        <v>375.600236</v>
      </c>
    </row>
    <row r="6" spans="1:15" ht="13.35" customHeight="1">
      <c r="A6" s="49"/>
      <c r="B6" s="16" t="s">
        <v>139</v>
      </c>
      <c r="C6" s="16"/>
      <c r="D6" s="19">
        <v>607.4702745332379</v>
      </c>
      <c r="E6" s="15">
        <v>82.36927878561599</v>
      </c>
      <c r="F6" s="15">
        <v>20.639404345878635</v>
      </c>
      <c r="G6" s="19">
        <v>537.56229632357542</v>
      </c>
      <c r="H6" s="15">
        <v>73.236025319127535</v>
      </c>
      <c r="I6" s="15">
        <v>19.130511491316465</v>
      </c>
      <c r="J6" s="19">
        <v>497</v>
      </c>
      <c r="K6" s="15">
        <v>73.245748000000006</v>
      </c>
      <c r="L6" s="15">
        <v>21.163388999999999</v>
      </c>
      <c r="M6" s="19">
        <v>473</v>
      </c>
      <c r="N6" s="15">
        <v>80.300096999999994</v>
      </c>
      <c r="O6" s="24">
        <v>19.884260000000001</v>
      </c>
    </row>
    <row r="7" spans="1:15" ht="13.35" customHeight="1">
      <c r="A7" s="49"/>
      <c r="B7" s="16" t="s">
        <v>119</v>
      </c>
      <c r="C7" s="16"/>
      <c r="D7" s="19">
        <v>5409.4393157166978</v>
      </c>
      <c r="E7" s="15">
        <v>72.400285752994236</v>
      </c>
      <c r="F7" s="15">
        <v>66.131976122975473</v>
      </c>
      <c r="G7" s="19">
        <v>4786.9183765642692</v>
      </c>
      <c r="H7" s="15">
        <v>64.372412126112806</v>
      </c>
      <c r="I7" s="15">
        <v>61.297240364239315</v>
      </c>
      <c r="J7" s="19">
        <v>4794</v>
      </c>
      <c r="K7" s="15">
        <v>21.609480000000001</v>
      </c>
      <c r="L7" s="15">
        <v>62.939295000000001</v>
      </c>
      <c r="M7" s="19">
        <v>4212</v>
      </c>
      <c r="N7" s="15">
        <v>70.581532999999993</v>
      </c>
      <c r="O7" s="24">
        <v>63.712372000000002</v>
      </c>
    </row>
    <row r="8" spans="1:15" ht="13.35" customHeight="1">
      <c r="A8" s="49"/>
      <c r="B8" s="16" t="s">
        <v>140</v>
      </c>
      <c r="C8" s="16"/>
      <c r="D8" s="19">
        <v>1433.2702460445953</v>
      </c>
      <c r="E8" s="15">
        <v>391.61476840617416</v>
      </c>
      <c r="F8" s="15">
        <v>116.54964284461393</v>
      </c>
      <c r="G8" s="19">
        <v>1268.3288006281398</v>
      </c>
      <c r="H8" s="15">
        <v>348.19182002291893</v>
      </c>
      <c r="I8" s="15">
        <v>108.02900337542653</v>
      </c>
      <c r="J8" s="19">
        <v>1012</v>
      </c>
      <c r="K8" s="15">
        <v>323.27590800000002</v>
      </c>
      <c r="L8" s="15">
        <v>100.13365899999999</v>
      </c>
      <c r="M8" s="19">
        <v>1116</v>
      </c>
      <c r="N8" s="15">
        <v>381.77709399999998</v>
      </c>
      <c r="O8" s="24">
        <v>112.285382</v>
      </c>
    </row>
    <row r="9" spans="1:15" ht="13.35" customHeight="1">
      <c r="A9" s="49"/>
      <c r="B9" s="16" t="s">
        <v>120</v>
      </c>
      <c r="C9" s="16"/>
      <c r="D9" s="19">
        <v>970.92500538504839</v>
      </c>
      <c r="E9" s="15">
        <v>135.03337988531337</v>
      </c>
      <c r="F9" s="15">
        <v>36.054843842560899</v>
      </c>
      <c r="G9" s="19">
        <v>859.19047784486895</v>
      </c>
      <c r="H9" s="15">
        <v>120.06063636841176</v>
      </c>
      <c r="I9" s="15">
        <v>33.418968536534521</v>
      </c>
      <c r="J9" s="19">
        <v>871</v>
      </c>
      <c r="K9" s="15">
        <v>110.933465</v>
      </c>
      <c r="L9" s="15">
        <v>29.005289000000001</v>
      </c>
      <c r="M9" s="19">
        <v>756</v>
      </c>
      <c r="N9" s="15">
        <v>131.641234</v>
      </c>
      <c r="O9" s="24">
        <v>34.735686999999999</v>
      </c>
    </row>
    <row r="10" spans="1:15" s="51" customFormat="1" ht="13.35" customHeight="1">
      <c r="A10" s="49"/>
      <c r="B10" s="16" t="s">
        <v>141</v>
      </c>
      <c r="C10" s="16"/>
      <c r="D10" s="19">
        <v>464.91382532987768</v>
      </c>
      <c r="E10" s="15">
        <v>114.437386143979</v>
      </c>
      <c r="F10" s="15">
        <v>29.23089974168953</v>
      </c>
      <c r="G10" s="19">
        <v>411.41131346540021</v>
      </c>
      <c r="H10" s="15">
        <v>101.7483633783955</v>
      </c>
      <c r="I10" s="15">
        <v>27.093905135957804</v>
      </c>
      <c r="J10" s="19">
        <v>343</v>
      </c>
      <c r="K10" s="15">
        <v>102.769205</v>
      </c>
      <c r="L10" s="15">
        <v>29.038710999999999</v>
      </c>
      <c r="M10" s="19">
        <v>362</v>
      </c>
      <c r="N10" s="15">
        <v>111.562628</v>
      </c>
      <c r="O10" s="24">
        <v>28.161414000000001</v>
      </c>
    </row>
    <row r="11" spans="1:15" s="1" customFormat="1" ht="13.35" customHeight="1">
      <c r="A11" s="26"/>
      <c r="B11" s="16" t="s">
        <v>6</v>
      </c>
      <c r="C11" s="16"/>
      <c r="D11" s="19">
        <v>11607.434125224956</v>
      </c>
      <c r="E11" s="15">
        <v>1323.8215141787491</v>
      </c>
      <c r="F11" s="15">
        <v>371.45505119391976</v>
      </c>
      <c r="G11" s="19">
        <v>10271.644892542228</v>
      </c>
      <c r="H11" s="15">
        <v>1177.0338087181487</v>
      </c>
      <c r="I11" s="15">
        <v>344.29894420823285</v>
      </c>
      <c r="J11" s="19">
        <v>10547</v>
      </c>
      <c r="K11" s="15">
        <v>1204.3562440000001</v>
      </c>
      <c r="L11" s="15">
        <v>351.05316900000003</v>
      </c>
      <c r="M11" s="19">
        <v>9038</v>
      </c>
      <c r="N11" s="15">
        <v>1290.566065</v>
      </c>
      <c r="O11" s="24">
        <v>357.86443700000001</v>
      </c>
    </row>
    <row r="12" spans="1:15" s="1" customFormat="1" ht="13.35" customHeight="1">
      <c r="A12" s="26"/>
      <c r="B12" s="16" t="s">
        <v>121</v>
      </c>
      <c r="C12" s="16"/>
      <c r="D12" s="19">
        <v>9088.9368559655904</v>
      </c>
      <c r="E12" s="15">
        <v>1700.7624574279132</v>
      </c>
      <c r="F12" s="15">
        <v>422.02695506843042</v>
      </c>
      <c r="G12" s="19">
        <v>8042.9775287144666</v>
      </c>
      <c r="H12" s="15">
        <v>1512.1788636537558</v>
      </c>
      <c r="I12" s="15">
        <v>391.17366849756371</v>
      </c>
      <c r="J12" s="19">
        <v>7366</v>
      </c>
      <c r="K12" s="15">
        <v>1563.2181230000001</v>
      </c>
      <c r="L12" s="15">
        <v>383.44116200000002</v>
      </c>
      <c r="M12" s="19">
        <v>7077</v>
      </c>
      <c r="N12" s="15">
        <v>1658.0379519999999</v>
      </c>
      <c r="O12" s="24">
        <v>406.58604100000002</v>
      </c>
    </row>
    <row r="13" spans="1:15" s="1" customFormat="1" ht="13.35" customHeight="1">
      <c r="A13" s="26"/>
      <c r="B13" s="27" t="s">
        <v>142</v>
      </c>
      <c r="C13" s="27"/>
      <c r="D13" s="19">
        <v>1060.8254688466268</v>
      </c>
      <c r="E13" s="15">
        <v>230.37060991877917</v>
      </c>
      <c r="F13" s="15">
        <v>64.826969172357281</v>
      </c>
      <c r="G13" s="19">
        <v>938.74515171939379</v>
      </c>
      <c r="H13" s="15">
        <v>204.82670322640718</v>
      </c>
      <c r="I13" s="15">
        <v>60.087639057599162</v>
      </c>
      <c r="J13" s="19">
        <v>897</v>
      </c>
      <c r="K13" s="15">
        <v>191.291292</v>
      </c>
      <c r="L13" s="15">
        <v>52.772523</v>
      </c>
      <c r="M13" s="19">
        <v>826</v>
      </c>
      <c r="N13" s="15">
        <v>224.583517</v>
      </c>
      <c r="O13" s="24">
        <v>62.455112</v>
      </c>
    </row>
    <row r="14" spans="1:15" s="1" customFormat="1" ht="13.35" customHeight="1">
      <c r="A14" s="26"/>
      <c r="B14" s="27" t="s">
        <v>143</v>
      </c>
      <c r="C14" s="27"/>
      <c r="D14" s="19">
        <v>102867.96316974369</v>
      </c>
      <c r="E14" s="15">
        <v>19740.495431472718</v>
      </c>
      <c r="F14" s="15">
        <v>6322.8712184003161</v>
      </c>
      <c r="G14" s="19">
        <v>91029.867333254588</v>
      </c>
      <c r="H14" s="15">
        <v>17551.633868183388</v>
      </c>
      <c r="I14" s="15">
        <v>5860.6226456276172</v>
      </c>
      <c r="J14" s="19">
        <v>81910</v>
      </c>
      <c r="K14" s="15">
        <v>16654.607326000001</v>
      </c>
      <c r="L14" s="15">
        <v>5277.7464909999999</v>
      </c>
      <c r="M14" s="19">
        <v>80097</v>
      </c>
      <c r="N14" s="15">
        <v>19244.598488</v>
      </c>
      <c r="O14" s="24">
        <v>6091.5331249999999</v>
      </c>
    </row>
    <row r="15" spans="1:15" customFormat="1" ht="13.35" customHeight="1">
      <c r="A15" s="26"/>
      <c r="B15" s="27" t="s">
        <v>122</v>
      </c>
      <c r="C15" s="27"/>
      <c r="D15" s="19">
        <v>2113.9451836822614</v>
      </c>
      <c r="E15" s="15">
        <v>330.28091831742745</v>
      </c>
      <c r="F15" s="15">
        <v>115.6173412538668</v>
      </c>
      <c r="G15" s="19">
        <v>1870.6713313923997</v>
      </c>
      <c r="H15" s="15">
        <v>293.65877731278374</v>
      </c>
      <c r="I15" s="15">
        <v>107.16485991487546</v>
      </c>
      <c r="J15" s="19">
        <v>1791</v>
      </c>
      <c r="K15" s="15">
        <v>257.57019000000003</v>
      </c>
      <c r="L15" s="15">
        <v>93.096361000000002</v>
      </c>
      <c r="M15" s="19">
        <v>1646</v>
      </c>
      <c r="N15" s="15">
        <v>321.98399899999998</v>
      </c>
      <c r="O15" s="24">
        <v>111.387191</v>
      </c>
    </row>
    <row r="16" spans="1:15" customFormat="1" ht="13.35" customHeight="1">
      <c r="A16" s="26"/>
      <c r="B16" s="27" t="s">
        <v>144</v>
      </c>
      <c r="C16" s="27"/>
      <c r="D16" s="19">
        <v>105.31197148356344</v>
      </c>
      <c r="E16" s="15">
        <v>7.685139823828286</v>
      </c>
      <c r="F16" s="15">
        <v>1.612964343821601</v>
      </c>
      <c r="G16" s="19">
        <v>93.192617967300592</v>
      </c>
      <c r="H16" s="15">
        <v>6.8329977270264681</v>
      </c>
      <c r="I16" s="15">
        <v>1.4950447405098917</v>
      </c>
      <c r="J16" s="19">
        <v>111</v>
      </c>
      <c r="K16" s="15">
        <v>9.1640160000000002</v>
      </c>
      <c r="L16" s="15">
        <v>1.822994</v>
      </c>
      <c r="M16" s="19">
        <v>82</v>
      </c>
      <c r="N16" s="15">
        <v>7.492083</v>
      </c>
      <c r="O16" s="24">
        <v>1.5539499999999999</v>
      </c>
    </row>
    <row r="17" spans="1:15" customFormat="1" ht="13.35" customHeight="1">
      <c r="A17" s="26"/>
      <c r="B17" s="27" t="s">
        <v>123</v>
      </c>
      <c r="C17" s="27"/>
      <c r="D17" s="19">
        <v>7510.5415760473043</v>
      </c>
      <c r="E17" s="15">
        <v>1845.9023971329373</v>
      </c>
      <c r="F17" s="15">
        <v>476.10882380607308</v>
      </c>
      <c r="G17" s="19">
        <v>6646.2247545460223</v>
      </c>
      <c r="H17" s="15">
        <v>1641.2254263500165</v>
      </c>
      <c r="I17" s="15">
        <v>441.30175330171346</v>
      </c>
      <c r="J17" s="19">
        <v>5515</v>
      </c>
      <c r="K17" s="15">
        <v>1502.4277420000001</v>
      </c>
      <c r="L17" s="15">
        <v>373.21496300000001</v>
      </c>
      <c r="M17" s="19">
        <v>5848</v>
      </c>
      <c r="N17" s="15">
        <v>1799.5318609999999</v>
      </c>
      <c r="O17" s="24">
        <v>458.689189</v>
      </c>
    </row>
    <row r="18" spans="1:15" customFormat="1" ht="13.35" customHeight="1">
      <c r="A18" s="26"/>
      <c r="B18" s="27" t="s">
        <v>124</v>
      </c>
      <c r="C18" s="27"/>
      <c r="D18" s="19">
        <v>2311.7262032977342</v>
      </c>
      <c r="E18" s="15">
        <v>418.7598637887794</v>
      </c>
      <c r="F18" s="15">
        <v>119.77601163450092</v>
      </c>
      <c r="G18" s="19">
        <v>2045.6916139163545</v>
      </c>
      <c r="H18" s="15">
        <v>372.32701851002486</v>
      </c>
      <c r="I18" s="15">
        <v>111.01950078396648</v>
      </c>
      <c r="J18" s="19">
        <v>1850</v>
      </c>
      <c r="K18" s="15">
        <v>314.26298500000001</v>
      </c>
      <c r="L18" s="15">
        <v>101.985714</v>
      </c>
      <c r="M18" s="19">
        <v>1800</v>
      </c>
      <c r="N18" s="15">
        <v>408.24028299999998</v>
      </c>
      <c r="O18" s="24">
        <v>115.39370599999999</v>
      </c>
    </row>
    <row r="19" spans="1:15" customFormat="1" ht="13.35" customHeight="1">
      <c r="A19" s="26"/>
      <c r="B19" s="27" t="s">
        <v>145</v>
      </c>
      <c r="C19" s="27"/>
      <c r="D19" s="19">
        <v>13185.829405143242</v>
      </c>
      <c r="E19" s="15">
        <v>3956.8784051661764</v>
      </c>
      <c r="F19" s="15">
        <v>1190.8580374882285</v>
      </c>
      <c r="G19" s="19">
        <v>11668.397666710673</v>
      </c>
      <c r="H19" s="15">
        <v>3518.1326258748777</v>
      </c>
      <c r="I19" s="15">
        <v>1103.7975219107659</v>
      </c>
      <c r="J19" s="19">
        <v>10243</v>
      </c>
      <c r="K19" s="15">
        <v>3534.220855</v>
      </c>
      <c r="L19" s="15">
        <v>1013.522991</v>
      </c>
      <c r="M19" s="19">
        <v>10267</v>
      </c>
      <c r="N19" s="15">
        <v>3857.4784730000001</v>
      </c>
      <c r="O19" s="24">
        <v>1147.287511</v>
      </c>
    </row>
    <row r="20" spans="1:15" customFormat="1" ht="13.35" customHeight="1">
      <c r="A20" s="26"/>
      <c r="B20" s="27" t="s">
        <v>7</v>
      </c>
      <c r="C20" s="27"/>
      <c r="D20" s="19">
        <v>2048.4462745888254</v>
      </c>
      <c r="E20" s="15">
        <v>368.32655599081528</v>
      </c>
      <c r="F20" s="15">
        <v>111.99152155100387</v>
      </c>
      <c r="G20" s="19">
        <v>1812.7100689981032</v>
      </c>
      <c r="H20" s="15">
        <v>327.48584639739431</v>
      </c>
      <c r="I20" s="15">
        <v>103.8041144045569</v>
      </c>
      <c r="J20" s="19">
        <v>1630</v>
      </c>
      <c r="K20" s="15">
        <v>420.27557000000002</v>
      </c>
      <c r="L20" s="15">
        <v>140.754265</v>
      </c>
      <c r="M20" s="19">
        <v>1595</v>
      </c>
      <c r="N20" s="15">
        <v>359.07389999999998</v>
      </c>
      <c r="O20" s="24">
        <v>107.894031</v>
      </c>
    </row>
    <row r="21" spans="1:15" customFormat="1" ht="13.35" customHeight="1">
      <c r="A21" s="26"/>
      <c r="B21" s="27" t="s">
        <v>125</v>
      </c>
      <c r="C21" s="27"/>
      <c r="D21" s="19">
        <v>2444.008313819771</v>
      </c>
      <c r="E21" s="15">
        <v>1256.6561118605737</v>
      </c>
      <c r="F21" s="15">
        <v>437.75469174011187</v>
      </c>
      <c r="G21" s="19">
        <v>2162.7506340460127</v>
      </c>
      <c r="H21" s="15">
        <v>1117.3158267561378</v>
      </c>
      <c r="I21" s="15">
        <v>405.75159148835405</v>
      </c>
      <c r="J21" s="19">
        <v>1993</v>
      </c>
      <c r="K21" s="15">
        <v>993.56535399999996</v>
      </c>
      <c r="L21" s="15">
        <v>329.707694</v>
      </c>
      <c r="M21" s="19">
        <v>1903</v>
      </c>
      <c r="N21" s="15">
        <v>1225.0879110000001</v>
      </c>
      <c r="O21" s="24">
        <v>421.738339</v>
      </c>
    </row>
    <row r="22" spans="1:15" customFormat="1" ht="13.35" customHeight="1">
      <c r="A22" s="26"/>
      <c r="B22" s="27" t="s">
        <v>126</v>
      </c>
      <c r="C22" s="27"/>
      <c r="D22" s="19">
        <v>1394.7414759896328</v>
      </c>
      <c r="E22" s="15">
        <v>137.04220619981251</v>
      </c>
      <c r="F22" s="15">
        <v>35.940708930702549</v>
      </c>
      <c r="G22" s="19">
        <v>1234.2339403962005</v>
      </c>
      <c r="H22" s="15">
        <v>121.84672041575783</v>
      </c>
      <c r="I22" s="15">
        <v>33.313177729480415</v>
      </c>
      <c r="J22" s="19">
        <v>1208</v>
      </c>
      <c r="K22" s="15">
        <v>125.42334</v>
      </c>
      <c r="L22" s="15">
        <v>30.608938999999999</v>
      </c>
      <c r="M22" s="19">
        <v>1086</v>
      </c>
      <c r="N22" s="15">
        <v>133.59959699999999</v>
      </c>
      <c r="O22" s="24">
        <v>34.625728000000002</v>
      </c>
    </row>
    <row r="23" spans="1:15" customFormat="1" ht="13.35" customHeight="1">
      <c r="A23" s="26"/>
      <c r="B23" s="27" t="s">
        <v>127</v>
      </c>
      <c r="C23" s="27"/>
      <c r="D23" s="19">
        <v>1702.9716364293308</v>
      </c>
      <c r="E23" s="15">
        <v>233.0570237710655</v>
      </c>
      <c r="F23" s="15">
        <v>54.39374034207583</v>
      </c>
      <c r="G23" s="19">
        <v>1506.9928222517144</v>
      </c>
      <c r="H23" s="15">
        <v>207.21524268922997</v>
      </c>
      <c r="I23" s="15">
        <v>50.417156291506693</v>
      </c>
      <c r="J23" s="19">
        <v>1315</v>
      </c>
      <c r="K23" s="15">
        <v>202.63868600000001</v>
      </c>
      <c r="L23" s="15">
        <v>47.135362000000001</v>
      </c>
      <c r="M23" s="19">
        <v>1326</v>
      </c>
      <c r="N23" s="15">
        <v>227.20244600000001</v>
      </c>
      <c r="O23" s="24">
        <v>52.403609000000003</v>
      </c>
    </row>
    <row r="24" spans="1:15" customFormat="1" ht="13.35" customHeight="1">
      <c r="A24" s="26"/>
      <c r="B24" s="27" t="s">
        <v>128</v>
      </c>
      <c r="C24" s="27"/>
      <c r="D24" s="19">
        <v>6587.1353870633766</v>
      </c>
      <c r="E24" s="15">
        <v>303.69602567309784</v>
      </c>
      <c r="F24" s="15">
        <v>40.780280799118906</v>
      </c>
      <c r="G24" s="19">
        <v>5829.0846043205456</v>
      </c>
      <c r="H24" s="15">
        <v>270.02166527889261</v>
      </c>
      <c r="I24" s="15">
        <v>37.798941159968095</v>
      </c>
      <c r="J24" s="19">
        <v>5975</v>
      </c>
      <c r="K24" s="15">
        <v>294.90808700000002</v>
      </c>
      <c r="L24" s="15">
        <v>37.626421999999998</v>
      </c>
      <c r="M24" s="19">
        <v>5129</v>
      </c>
      <c r="N24" s="15">
        <v>296.06693999999999</v>
      </c>
      <c r="O24" s="24">
        <v>39.288232000000001</v>
      </c>
    </row>
    <row r="25" spans="1:15" customFormat="1" ht="13.35" customHeight="1">
      <c r="A25" s="26"/>
      <c r="B25" s="27" t="s">
        <v>146</v>
      </c>
      <c r="C25" s="27"/>
      <c r="D25" s="19">
        <v>6248.0822105797088</v>
      </c>
      <c r="E25" s="15">
        <v>1219.9313055206474</v>
      </c>
      <c r="F25" s="15">
        <v>232.96904760234452</v>
      </c>
      <c r="G25" s="19">
        <v>5529.0498342794808</v>
      </c>
      <c r="H25" s="15">
        <v>1084.6631328561325</v>
      </c>
      <c r="I25" s="15">
        <v>215.93729002977065</v>
      </c>
      <c r="J25" s="19">
        <v>4293</v>
      </c>
      <c r="K25" s="15">
        <v>887.14923599999997</v>
      </c>
      <c r="L25" s="15">
        <v>166.77275299999999</v>
      </c>
      <c r="M25" s="19">
        <v>4865</v>
      </c>
      <c r="N25" s="15">
        <v>1189.2856609999999</v>
      </c>
      <c r="O25" s="24">
        <v>224.445291</v>
      </c>
    </row>
    <row r="26" spans="1:15" customFormat="1" ht="13.35" customHeight="1">
      <c r="A26" s="26"/>
      <c r="B26" s="27" t="s">
        <v>129</v>
      </c>
      <c r="C26" s="27"/>
      <c r="D26" s="19">
        <v>658.84196793985427</v>
      </c>
      <c r="E26" s="15">
        <v>115.1745461905609</v>
      </c>
      <c r="F26" s="15">
        <v>31.500600430986001</v>
      </c>
      <c r="G26" s="19">
        <v>583.022109966161</v>
      </c>
      <c r="H26" s="15">
        <v>102.40378579597225</v>
      </c>
      <c r="I26" s="15">
        <v>29.197673945889836</v>
      </c>
      <c r="J26" s="19">
        <v>579</v>
      </c>
      <c r="K26" s="15">
        <v>97.878417999999996</v>
      </c>
      <c r="L26" s="15">
        <v>25.007695999999999</v>
      </c>
      <c r="M26" s="19">
        <v>513</v>
      </c>
      <c r="N26" s="15">
        <v>112.28127000000001</v>
      </c>
      <c r="O26" s="24">
        <v>30.348071999999998</v>
      </c>
    </row>
    <row r="27" spans="1:15" customFormat="1" ht="13.35" customHeight="1">
      <c r="A27" s="26"/>
      <c r="B27" s="27" t="s">
        <v>130</v>
      </c>
      <c r="C27" s="27"/>
      <c r="D27" s="19">
        <v>51277.940066149233</v>
      </c>
      <c r="E27" s="15">
        <v>3923.4553381435426</v>
      </c>
      <c r="F27" s="15">
        <v>1210.2653434252531</v>
      </c>
      <c r="G27" s="19">
        <v>45376.849482687932</v>
      </c>
      <c r="H27" s="15">
        <v>3488.415568510768</v>
      </c>
      <c r="I27" s="15">
        <v>1121.7860104844624</v>
      </c>
      <c r="J27" s="19">
        <v>51925</v>
      </c>
      <c r="K27" s="15">
        <v>5506.5733579999996</v>
      </c>
      <c r="L27" s="15">
        <v>1804.7459510000001</v>
      </c>
      <c r="M27" s="19">
        <v>39927</v>
      </c>
      <c r="N27" s="15">
        <v>3824.8950199999999</v>
      </c>
      <c r="O27" s="24">
        <v>1165.9847520000001</v>
      </c>
    </row>
    <row r="28" spans="1:15" customFormat="1" ht="13.35" customHeight="1">
      <c r="A28" s="26"/>
      <c r="B28" s="27" t="s">
        <v>131</v>
      </c>
      <c r="C28" s="27"/>
      <c r="D28" s="19">
        <v>218.32969697811933</v>
      </c>
      <c r="E28" s="15">
        <v>48.395821522453026</v>
      </c>
      <c r="F28" s="15">
        <v>13.309916665892569</v>
      </c>
      <c r="G28" s="19">
        <v>193.20420798098905</v>
      </c>
      <c r="H28" s="15">
        <v>43.029605972187831</v>
      </c>
      <c r="I28" s="15">
        <v>12.336863480082313</v>
      </c>
      <c r="J28" s="19">
        <v>168</v>
      </c>
      <c r="K28" s="15">
        <v>42.900503</v>
      </c>
      <c r="L28" s="15">
        <v>11.111858</v>
      </c>
      <c r="M28" s="19">
        <v>170</v>
      </c>
      <c r="N28" s="15">
        <v>47.180079999999997</v>
      </c>
      <c r="O28" s="24">
        <v>12.822939999999999</v>
      </c>
    </row>
    <row r="29" spans="1:15" customFormat="1" ht="13.35" customHeight="1">
      <c r="A29" s="26"/>
      <c r="B29" s="27" t="s">
        <v>132</v>
      </c>
      <c r="C29" s="27"/>
      <c r="D29" s="19">
        <v>2158.8954154130506</v>
      </c>
      <c r="E29" s="15">
        <v>311.37631463953079</v>
      </c>
      <c r="F29" s="15">
        <v>81.083111904338125</v>
      </c>
      <c r="G29" s="19">
        <v>1910.4486683296623</v>
      </c>
      <c r="H29" s="15">
        <v>276.85035002029798</v>
      </c>
      <c r="I29" s="15">
        <v>75.155337724045395</v>
      </c>
      <c r="J29" s="19">
        <v>1515</v>
      </c>
      <c r="K29" s="15">
        <v>262.288589</v>
      </c>
      <c r="L29" s="15">
        <v>69.534003999999996</v>
      </c>
      <c r="M29" s="19">
        <v>1681</v>
      </c>
      <c r="N29" s="15">
        <v>303.55429400000003</v>
      </c>
      <c r="O29" s="24">
        <v>78.116483000000002</v>
      </c>
    </row>
    <row r="30" spans="1:15" customFormat="1" ht="13.35" customHeight="1">
      <c r="A30" s="26"/>
      <c r="B30" s="27" t="s">
        <v>138</v>
      </c>
      <c r="C30" s="27"/>
      <c r="D30" s="19">
        <v>2825.4431373638972</v>
      </c>
      <c r="E30" s="15">
        <v>224.16345525757413</v>
      </c>
      <c r="F30" s="15">
        <v>50.777931927282758</v>
      </c>
      <c r="G30" s="19">
        <v>2500.2897503422109</v>
      </c>
      <c r="H30" s="15">
        <v>199.30780901451396</v>
      </c>
      <c r="I30" s="15">
        <v>47.065690170178904</v>
      </c>
      <c r="J30" s="19">
        <v>2609</v>
      </c>
      <c r="K30" s="15">
        <v>213.584148</v>
      </c>
      <c r="L30" s="15">
        <v>48.556314</v>
      </c>
      <c r="M30" s="19">
        <v>2200</v>
      </c>
      <c r="N30" s="15">
        <v>218.53229099999999</v>
      </c>
      <c r="O30" s="24">
        <v>48.920093999999999</v>
      </c>
    </row>
    <row r="31" spans="1:15" customFormat="1" ht="13.35" customHeight="1">
      <c r="A31" s="26"/>
      <c r="B31" s="27" t="s">
        <v>8</v>
      </c>
      <c r="C31" s="27"/>
      <c r="D31" s="19">
        <v>463.62953299471224</v>
      </c>
      <c r="E31" s="15">
        <v>52.552240061461617</v>
      </c>
      <c r="F31" s="15">
        <v>13.239319698885469</v>
      </c>
      <c r="G31" s="19">
        <v>410.27481812433558</v>
      </c>
      <c r="H31" s="15">
        <v>46.72515336373403</v>
      </c>
      <c r="I31" s="15">
        <v>12.271427672636101</v>
      </c>
      <c r="J31" s="19">
        <v>397</v>
      </c>
      <c r="K31" s="15">
        <v>60.478942000000004</v>
      </c>
      <c r="L31" s="15">
        <v>15.132315999999999</v>
      </c>
      <c r="M31" s="19">
        <v>361</v>
      </c>
      <c r="N31" s="15">
        <v>51.232086000000002</v>
      </c>
      <c r="O31" s="24">
        <v>12.754925999999999</v>
      </c>
    </row>
    <row r="32" spans="1:15" customFormat="1" ht="13.35" customHeight="1">
      <c r="A32" s="26"/>
      <c r="B32" s="27" t="s">
        <v>133</v>
      </c>
      <c r="C32" s="27"/>
      <c r="D32" s="19">
        <v>599.76452052224545</v>
      </c>
      <c r="E32" s="15">
        <v>-31.263874386561152</v>
      </c>
      <c r="F32" s="15">
        <v>2.9511564567914301</v>
      </c>
      <c r="G32" s="19">
        <v>530.74332427718753</v>
      </c>
      <c r="H32" s="15">
        <v>-27.797279882800812</v>
      </c>
      <c r="I32" s="15">
        <v>2.7354051291017436</v>
      </c>
      <c r="J32" s="19">
        <v>648</v>
      </c>
      <c r="K32" s="15">
        <v>-41.266925999999998</v>
      </c>
      <c r="L32" s="15">
        <v>2.5766070000000001</v>
      </c>
      <c r="M32" s="19">
        <v>467</v>
      </c>
      <c r="N32" s="15">
        <v>-30.478501000000001</v>
      </c>
      <c r="O32" s="24">
        <v>2.843181</v>
      </c>
    </row>
    <row r="33" spans="1:15" customFormat="1" ht="13.35" customHeight="1">
      <c r="A33" s="26"/>
      <c r="B33" s="27" t="s">
        <v>134</v>
      </c>
      <c r="C33" s="27"/>
      <c r="D33" s="19">
        <v>17358.495202095652</v>
      </c>
      <c r="E33" s="15">
        <v>1363.3097777622172</v>
      </c>
      <c r="F33" s="15">
        <v>433.39146827200869</v>
      </c>
      <c r="G33" s="19">
        <v>15360.871029829694</v>
      </c>
      <c r="H33" s="15">
        <v>1212.1435427627339</v>
      </c>
      <c r="I33" s="15">
        <v>401.70735187286346</v>
      </c>
      <c r="J33" s="19">
        <v>15708</v>
      </c>
      <c r="K33" s="15">
        <v>1081.6162850000001</v>
      </c>
      <c r="L33" s="15">
        <v>362.39309900000001</v>
      </c>
      <c r="M33" s="19">
        <v>13516</v>
      </c>
      <c r="N33" s="15">
        <v>1329.0623519999999</v>
      </c>
      <c r="O33" s="24">
        <v>417.53475500000002</v>
      </c>
    </row>
    <row r="34" spans="1:15" customFormat="1" ht="13.35" customHeight="1">
      <c r="A34" s="26"/>
      <c r="B34" s="27" t="s">
        <v>147</v>
      </c>
      <c r="C34" s="27"/>
      <c r="D34" s="19">
        <v>2956.4409555507691</v>
      </c>
      <c r="E34" s="15">
        <v>384.93244000269067</v>
      </c>
      <c r="F34" s="15">
        <v>105.96810059614293</v>
      </c>
      <c r="G34" s="19">
        <v>2616.2122751308048</v>
      </c>
      <c r="H34" s="15">
        <v>342.25044018612346</v>
      </c>
      <c r="I34" s="15">
        <v>98.221049997128233</v>
      </c>
      <c r="J34" s="19">
        <v>2561</v>
      </c>
      <c r="K34" s="15">
        <v>313.13024799999999</v>
      </c>
      <c r="L34" s="15">
        <v>85.559417999999994</v>
      </c>
      <c r="M34" s="19">
        <v>2302</v>
      </c>
      <c r="N34" s="15">
        <v>375.262631</v>
      </c>
      <c r="O34" s="24">
        <v>102.090992</v>
      </c>
    </row>
    <row r="35" spans="1:15" customFormat="1" ht="13.35" customHeight="1">
      <c r="A35" s="26"/>
      <c r="B35" s="27" t="s">
        <v>135</v>
      </c>
      <c r="C35" s="27"/>
      <c r="D35" s="19">
        <v>7000.6775189866385</v>
      </c>
      <c r="E35" s="15">
        <v>1230.0086268461314</v>
      </c>
      <c r="F35" s="15">
        <v>349.79710493906856</v>
      </c>
      <c r="G35" s="19">
        <v>6195.0361041433607</v>
      </c>
      <c r="H35" s="15">
        <v>1093.6230627064717</v>
      </c>
      <c r="I35" s="15">
        <v>324.22435374218196</v>
      </c>
      <c r="J35" s="19">
        <v>5657</v>
      </c>
      <c r="K35" s="15">
        <v>1715.7304939999999</v>
      </c>
      <c r="L35" s="15">
        <v>551.01973499999997</v>
      </c>
      <c r="M35" s="19">
        <v>5451</v>
      </c>
      <c r="N35" s="15">
        <v>1199.1098320000001</v>
      </c>
      <c r="O35" s="24">
        <v>336.99890099999999</v>
      </c>
    </row>
    <row r="36" spans="1:15" customFormat="1" ht="13.35" customHeight="1">
      <c r="A36" s="26"/>
      <c r="B36" s="27" t="s">
        <v>148</v>
      </c>
      <c r="C36" s="27"/>
      <c r="D36" s="19">
        <v>1172.5589020060174</v>
      </c>
      <c r="E36" s="15">
        <v>107.09207611483605</v>
      </c>
      <c r="F36" s="15">
        <v>28.398084093538984</v>
      </c>
      <c r="G36" s="19">
        <v>1037.6202463920176</v>
      </c>
      <c r="H36" s="15">
        <v>95.217514508499917</v>
      </c>
      <c r="I36" s="15">
        <v>26.321974461016907</v>
      </c>
      <c r="J36" s="19">
        <v>997</v>
      </c>
      <c r="K36" s="15">
        <v>79.586448000000004</v>
      </c>
      <c r="L36" s="15">
        <v>24.228235999999999</v>
      </c>
      <c r="M36" s="19">
        <v>913</v>
      </c>
      <c r="N36" s="15">
        <v>104.401838</v>
      </c>
      <c r="O36" s="24">
        <v>27.359069000000002</v>
      </c>
    </row>
    <row r="37" spans="1:15" customFormat="1" ht="13.35" customHeight="1">
      <c r="A37" s="26"/>
      <c r="B37" s="246" t="s">
        <v>1</v>
      </c>
      <c r="C37" s="27"/>
      <c r="D37" s="19">
        <v>39863.149791199088</v>
      </c>
      <c r="E37" s="15">
        <v>1578.5998957307468</v>
      </c>
      <c r="F37" s="15">
        <v>1197.8932815270048</v>
      </c>
      <c r="G37" s="19">
        <v>35275.678891305404</v>
      </c>
      <c r="H37" s="15">
        <v>1403.5619060525012</v>
      </c>
      <c r="I37" s="15">
        <v>1110.3184376635938</v>
      </c>
      <c r="J37" s="19">
        <v>36546</v>
      </c>
      <c r="K37" s="15">
        <v>1792.4668650000001</v>
      </c>
      <c r="L37" s="15">
        <v>1320.492062</v>
      </c>
      <c r="M37" s="19">
        <v>31039</v>
      </c>
      <c r="N37" s="15">
        <v>1538.944211</v>
      </c>
      <c r="O37" s="24">
        <v>1154.065353</v>
      </c>
    </row>
    <row r="38" spans="1:15" customFormat="1" ht="13.35" customHeight="1">
      <c r="A38" s="88"/>
      <c r="B38" s="75" t="s">
        <v>9</v>
      </c>
      <c r="C38" s="89"/>
      <c r="D38" s="20">
        <f>SUM(D4:D37)</f>
        <v>369663</v>
      </c>
      <c r="E38" s="18">
        <f t="shared" ref="E38:O38" si="0">SUM(E4:E37)</f>
        <v>51352.71173499999</v>
      </c>
      <c r="F38" s="18">
        <f t="shared" si="0"/>
        <v>17196.285175999998</v>
      </c>
      <c r="G38" s="20">
        <f t="shared" si="0"/>
        <v>327121.99999999988</v>
      </c>
      <c r="H38" s="18">
        <f t="shared" si="0"/>
        <v>45658.630891000001</v>
      </c>
      <c r="I38" s="18">
        <f t="shared" si="0"/>
        <v>15939.109756000002</v>
      </c>
      <c r="J38" s="20">
        <f t="shared" si="0"/>
        <v>315040</v>
      </c>
      <c r="K38" s="18">
        <f t="shared" si="0"/>
        <v>46738.24573800002</v>
      </c>
      <c r="L38" s="18">
        <f t="shared" si="0"/>
        <v>15949.369073000002</v>
      </c>
      <c r="M38" s="20">
        <f t="shared" si="0"/>
        <v>287834</v>
      </c>
      <c r="N38" s="18">
        <f t="shared" si="0"/>
        <v>50062.690779000019</v>
      </c>
      <c r="O38" s="25">
        <f t="shared" si="0"/>
        <v>16567.115976000005</v>
      </c>
    </row>
    <row r="39" spans="1:15" customFormat="1" ht="13.35" hidden="1" customHeight="1">
      <c r="A39" s="26"/>
      <c r="B39" s="27" t="s">
        <v>115</v>
      </c>
      <c r="C39" s="27"/>
      <c r="D39" s="19">
        <v>56255</v>
      </c>
      <c r="E39" s="15">
        <v>0</v>
      </c>
      <c r="F39" s="15">
        <v>2.1472319999999998</v>
      </c>
      <c r="G39" s="19">
        <v>52980</v>
      </c>
      <c r="H39" s="15">
        <v>0</v>
      </c>
      <c r="I39" s="15">
        <f>0.475385-0.475385</f>
        <v>0</v>
      </c>
      <c r="J39" s="19">
        <v>32155</v>
      </c>
      <c r="K39" s="15">
        <v>0</v>
      </c>
      <c r="L39" s="15">
        <v>0.90502300000000002</v>
      </c>
      <c r="M39" s="19">
        <v>15365</v>
      </c>
      <c r="N39" s="15">
        <v>0</v>
      </c>
      <c r="O39" s="24">
        <f>0.149714-0.149714</f>
        <v>0</v>
      </c>
    </row>
    <row r="40" spans="1:15" customFormat="1" ht="13.35" hidden="1" customHeight="1">
      <c r="A40" s="146"/>
      <c r="B40" s="147" t="s">
        <v>112</v>
      </c>
      <c r="C40" s="147"/>
      <c r="D40" s="156">
        <f>D38-D39</f>
        <v>313408</v>
      </c>
      <c r="E40" s="157">
        <f t="shared" ref="E40:O40" si="1">E38-E39</f>
        <v>51352.71173499999</v>
      </c>
      <c r="F40" s="157">
        <f t="shared" si="1"/>
        <v>17194.137943999998</v>
      </c>
      <c r="G40" s="156">
        <f t="shared" si="1"/>
        <v>274141.99999999988</v>
      </c>
      <c r="H40" s="157">
        <f t="shared" si="1"/>
        <v>45658.630891000001</v>
      </c>
      <c r="I40" s="157">
        <f t="shared" si="1"/>
        <v>15939.109756000002</v>
      </c>
      <c r="J40" s="156">
        <f t="shared" si="1"/>
        <v>282885</v>
      </c>
      <c r="K40" s="157">
        <f t="shared" si="1"/>
        <v>46738.24573800002</v>
      </c>
      <c r="L40" s="157">
        <f t="shared" si="1"/>
        <v>15948.464050000002</v>
      </c>
      <c r="M40" s="156">
        <f t="shared" si="1"/>
        <v>272469</v>
      </c>
      <c r="N40" s="157">
        <f t="shared" si="1"/>
        <v>50062.690779000019</v>
      </c>
      <c r="O40" s="158">
        <f t="shared" si="1"/>
        <v>16567.115976000005</v>
      </c>
    </row>
    <row r="41" spans="1:15" customFormat="1" ht="13.35" hidden="1" customHeight="1">
      <c r="A41" s="148"/>
      <c r="B41" s="149" t="s">
        <v>9</v>
      </c>
      <c r="C41" s="150"/>
      <c r="D41" s="159">
        <f t="shared" ref="D41:O41" si="2">SUM(D39:D40)</f>
        <v>369663</v>
      </c>
      <c r="E41" s="160">
        <f t="shared" si="2"/>
        <v>51352.71173499999</v>
      </c>
      <c r="F41" s="160">
        <f t="shared" si="2"/>
        <v>17196.285175999998</v>
      </c>
      <c r="G41" s="159">
        <f t="shared" si="2"/>
        <v>327121.99999999988</v>
      </c>
      <c r="H41" s="160">
        <f t="shared" si="2"/>
        <v>45658.630891000001</v>
      </c>
      <c r="I41" s="160">
        <f t="shared" si="2"/>
        <v>15939.109756000002</v>
      </c>
      <c r="J41" s="159">
        <f t="shared" si="2"/>
        <v>315040</v>
      </c>
      <c r="K41" s="160">
        <f t="shared" si="2"/>
        <v>46738.24573800002</v>
      </c>
      <c r="L41" s="160">
        <f t="shared" si="2"/>
        <v>15949.369073000002</v>
      </c>
      <c r="M41" s="159">
        <f t="shared" si="2"/>
        <v>287834</v>
      </c>
      <c r="N41" s="160">
        <f t="shared" si="2"/>
        <v>50062.690779000019</v>
      </c>
      <c r="O41" s="161">
        <f t="shared" si="2"/>
        <v>16567.115976000005</v>
      </c>
    </row>
    <row r="42" spans="1:15" customFormat="1" ht="13.35" hidden="1" customHeight="1">
      <c r="A42" s="146"/>
      <c r="B42" s="151" t="s">
        <v>90</v>
      </c>
      <c r="C42" s="152"/>
      <c r="D42" s="156"/>
      <c r="E42" s="157"/>
      <c r="F42" s="157"/>
      <c r="G42" s="156"/>
      <c r="H42" s="157"/>
      <c r="I42" s="157"/>
      <c r="J42" s="156"/>
      <c r="K42" s="157"/>
      <c r="L42" s="157"/>
      <c r="M42" s="156"/>
      <c r="N42" s="157"/>
      <c r="O42" s="158"/>
    </row>
    <row r="43" spans="1:15" customFormat="1" ht="13.35" hidden="1" customHeight="1">
      <c r="A43" s="146"/>
      <c r="B43" s="147" t="s">
        <v>115</v>
      </c>
      <c r="C43" s="147"/>
      <c r="D43" s="162">
        <f>D39/D$41</f>
        <v>0.15217914695276508</v>
      </c>
      <c r="E43" s="23"/>
      <c r="F43" s="23"/>
      <c r="G43" s="162">
        <f>G39/G$41</f>
        <v>0.1619579239549771</v>
      </c>
      <c r="H43" s="23"/>
      <c r="I43" s="23"/>
      <c r="J43" s="162">
        <f>J39/J$41</f>
        <v>0.10206640426612494</v>
      </c>
      <c r="K43" s="23"/>
      <c r="L43" s="23"/>
      <c r="M43" s="162">
        <f>M39/M$41</f>
        <v>5.338146292654794E-2</v>
      </c>
      <c r="N43" s="23"/>
      <c r="O43" s="163"/>
    </row>
    <row r="44" spans="1:15" customFormat="1" ht="13.35" hidden="1" customHeight="1">
      <c r="A44" s="146"/>
      <c r="B44" s="147" t="s">
        <v>112</v>
      </c>
      <c r="C44" s="147"/>
      <c r="D44" s="162">
        <f>D40/D$41</f>
        <v>0.84782085304723487</v>
      </c>
      <c r="E44" s="23"/>
      <c r="F44" s="23"/>
      <c r="G44" s="162">
        <f>G40/G$41</f>
        <v>0.8380420760450229</v>
      </c>
      <c r="H44" s="23"/>
      <c r="I44" s="23"/>
      <c r="J44" s="162">
        <f>J40/J$41</f>
        <v>0.8979335957338751</v>
      </c>
      <c r="K44" s="23"/>
      <c r="L44" s="23"/>
      <c r="M44" s="162">
        <f>M40/M$41</f>
        <v>0.946618537073452</v>
      </c>
      <c r="N44" s="23"/>
      <c r="O44" s="163"/>
    </row>
    <row r="45" spans="1:15" customFormat="1" ht="13.35" hidden="1" customHeight="1">
      <c r="A45" s="153"/>
      <c r="B45" s="154" t="s">
        <v>9</v>
      </c>
      <c r="C45" s="155"/>
      <c r="D45" s="164">
        <f>D44+D43</f>
        <v>1</v>
      </c>
      <c r="E45" s="165"/>
      <c r="F45" s="165"/>
      <c r="G45" s="164">
        <f>G44+G43</f>
        <v>1</v>
      </c>
      <c r="H45" s="165"/>
      <c r="I45" s="165"/>
      <c r="J45" s="164">
        <f>J44+J43</f>
        <v>1</v>
      </c>
      <c r="K45" s="165"/>
      <c r="L45" s="165"/>
      <c r="M45" s="164">
        <f>M44+M43</f>
        <v>1</v>
      </c>
      <c r="N45" s="165"/>
      <c r="O45" s="166"/>
    </row>
    <row r="46" spans="1:15" customFormat="1" ht="12" customHeight="1">
      <c r="A46" s="1"/>
      <c r="B46" s="29" t="s">
        <v>113</v>
      </c>
      <c r="C46" s="1"/>
      <c r="D46" s="1"/>
      <c r="E46" s="1"/>
      <c r="F46" s="1"/>
      <c r="G46" s="1"/>
      <c r="H46" s="1"/>
      <c r="I46" s="1"/>
      <c r="J46" s="1"/>
      <c r="K46" s="1"/>
      <c r="L46" s="1"/>
      <c r="M46" s="1"/>
      <c r="N46" s="1"/>
      <c r="O46" s="1"/>
    </row>
    <row r="47" spans="1:15" customFormat="1" ht="13.35" customHeight="1">
      <c r="B47" s="29" t="s">
        <v>527</v>
      </c>
      <c r="D47" s="2"/>
      <c r="E47" s="48"/>
      <c r="F47" s="48"/>
      <c r="G47" s="14"/>
      <c r="H47" s="69"/>
      <c r="I47" s="48"/>
      <c r="J47" s="6"/>
      <c r="K47" s="48"/>
      <c r="L47" s="48"/>
      <c r="M47" s="6"/>
      <c r="N47" s="48"/>
      <c r="O47" s="48"/>
    </row>
    <row r="48" spans="1:15" customFormat="1" ht="13.35" customHeight="1">
      <c r="H48" s="1"/>
    </row>
    <row r="49" spans="3:15" customFormat="1" ht="13.35" customHeight="1">
      <c r="H49" s="560" t="s">
        <v>506</v>
      </c>
    </row>
    <row r="50" spans="3:15" customFormat="1" ht="13.35" customHeight="1">
      <c r="H50" s="1"/>
    </row>
    <row r="51" spans="3:15" customFormat="1" ht="13.35" customHeight="1">
      <c r="D51" s="442"/>
      <c r="E51" s="442"/>
      <c r="F51" s="442"/>
      <c r="G51" s="442"/>
      <c r="H51" s="443"/>
      <c r="I51" s="442"/>
      <c r="J51" s="442"/>
      <c r="K51" s="442"/>
      <c r="L51" s="442"/>
      <c r="M51" s="442"/>
    </row>
    <row r="52" spans="3:15" customFormat="1" ht="13.35" customHeight="1">
      <c r="C52" s="190" t="s">
        <v>196</v>
      </c>
      <c r="D52" s="198">
        <f>D38/A2.3.1!D38</f>
        <v>8.9653720589508532E-2</v>
      </c>
      <c r="F52" s="198">
        <f>F38/A2.3.1!F38</f>
        <v>0.11500688621547812</v>
      </c>
      <c r="G52" s="198">
        <f>G38/A2.3.1!G38</f>
        <v>7.4002687987780286E-2</v>
      </c>
      <c r="I52" s="198">
        <f>I38/A2.3.1!I38</f>
        <v>9.3466872025490949E-2</v>
      </c>
      <c r="J52" s="198">
        <f>J38/A2.3.1!J38</f>
        <v>6.8718223220364014E-2</v>
      </c>
      <c r="L52" s="198">
        <f>L38/A2.3.1!L38</f>
        <v>9.3516484045920709E-2</v>
      </c>
      <c r="M52" s="198">
        <f>M38/A2.3.1!M38</f>
        <v>6.3642184787290404E-2</v>
      </c>
      <c r="O52" s="198">
        <f>O38/A2.3.1!O38</f>
        <v>9.0946677270729179E-2</v>
      </c>
    </row>
    <row r="53" spans="3:15" customFormat="1" ht="13.35" customHeight="1">
      <c r="H53" s="1"/>
    </row>
    <row r="54" spans="3:15" customFormat="1" ht="13.35" customHeight="1">
      <c r="C54" s="339" t="s">
        <v>376</v>
      </c>
      <c r="D54" s="48"/>
      <c r="E54" s="48"/>
      <c r="F54" s="48"/>
      <c r="G54" s="48"/>
      <c r="H54" s="69"/>
      <c r="I54" s="48"/>
      <c r="J54" s="48"/>
      <c r="K54" s="48"/>
      <c r="L54" s="48"/>
      <c r="M54" s="48"/>
      <c r="N54" s="48"/>
      <c r="O54" s="48"/>
    </row>
    <row r="55" spans="3:15" customFormat="1" ht="13.35" customHeight="1">
      <c r="C55" s="47"/>
      <c r="D55" s="48"/>
      <c r="E55" s="48"/>
      <c r="F55" s="48"/>
      <c r="G55" s="48"/>
      <c r="H55" s="69"/>
      <c r="I55" s="48"/>
      <c r="J55" s="48"/>
      <c r="K55" s="48"/>
      <c r="L55" s="48"/>
      <c r="M55" s="48"/>
      <c r="N55" s="48"/>
      <c r="O55" s="48"/>
    </row>
    <row r="56" spans="3:15">
      <c r="D56" s="436"/>
      <c r="E56" s="436"/>
      <c r="F56" s="436"/>
      <c r="G56" s="436"/>
      <c r="H56" s="436"/>
      <c r="I56" s="436"/>
      <c r="J56" s="436"/>
      <c r="K56" s="436"/>
      <c r="L56" s="436"/>
      <c r="M56" s="444"/>
      <c r="N56" s="444"/>
      <c r="O56" s="436"/>
    </row>
    <row r="57" spans="3:15">
      <c r="D57" s="436"/>
      <c r="E57" s="436"/>
      <c r="F57" s="436"/>
      <c r="G57" s="436"/>
      <c r="H57" s="436"/>
      <c r="I57" s="436"/>
      <c r="J57" s="436"/>
      <c r="K57" s="436"/>
      <c r="L57" s="436"/>
      <c r="M57" s="444"/>
      <c r="N57" s="444"/>
      <c r="O57" s="436"/>
    </row>
  </sheetData>
  <mergeCells count="1">
    <mergeCell ref="B3:C3"/>
  </mergeCells>
  <phoneticPr fontId="7" type="noConversion"/>
  <hyperlinks>
    <hyperlink ref="H49" location="CONTENTS!A1" display="BACK TO CONTENTS"/>
  </hyperlinks>
  <pageMargins left="0.98425196850393704" right="0.98425196850393704" top="0.98425196850393704" bottom="0.98425196850393704" header="0.51181102362204722" footer="0.51181102362204722"/>
  <pageSetup paperSize="9" scale="77" orientation="landscape" r:id="rId1"/>
  <headerFooter alignWithMargins="0"/>
</worksheet>
</file>

<file path=xl/worksheets/sheet31.xml><?xml version="1.0" encoding="utf-8"?>
<worksheet xmlns="http://schemas.openxmlformats.org/spreadsheetml/2006/main" xmlns:r="http://schemas.openxmlformats.org/officeDocument/2006/relationships">
  <sheetPr codeName="Sheet31" enableFormatConditionsCalculation="0">
    <pageSetUpPr fitToPage="1"/>
  </sheetPr>
  <dimension ref="A1:O39"/>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35.7109375" style="2" customWidth="1"/>
    <col min="4" max="6" width="10.140625" style="2" customWidth="1"/>
    <col min="7" max="7" width="10.140625" style="14" customWidth="1"/>
    <col min="8" max="8" width="10.140625" style="68" customWidth="1"/>
    <col min="9" max="15" width="10.140625" style="6" customWidth="1"/>
    <col min="16" max="16384" width="9.140625" style="10"/>
  </cols>
  <sheetData>
    <row r="1" spans="1:15" s="8" customFormat="1" ht="15" customHeight="1">
      <c r="A1" s="575" t="s">
        <v>524</v>
      </c>
      <c r="B1" s="575"/>
      <c r="C1" s="575"/>
      <c r="D1" s="576"/>
      <c r="E1" s="78"/>
      <c r="F1" s="78"/>
      <c r="G1" s="66"/>
      <c r="H1" s="66"/>
      <c r="I1" s="5"/>
      <c r="J1" s="4"/>
      <c r="K1" s="4"/>
      <c r="L1" s="4"/>
      <c r="M1" s="4"/>
      <c r="N1" s="4"/>
      <c r="O1" s="4"/>
    </row>
    <row r="2" spans="1:15" s="8" customFormat="1" ht="15" customHeight="1">
      <c r="A2" s="90"/>
      <c r="B2" s="91" t="s">
        <v>183</v>
      </c>
      <c r="C2" s="92"/>
      <c r="D2" s="84" t="s">
        <v>463</v>
      </c>
      <c r="E2" s="67"/>
      <c r="F2" s="67"/>
      <c r="G2" s="65" t="s">
        <v>464</v>
      </c>
      <c r="H2" s="67"/>
      <c r="I2" s="67"/>
      <c r="J2" s="65" t="s">
        <v>465</v>
      </c>
      <c r="K2" s="67"/>
      <c r="L2" s="67"/>
      <c r="M2" s="65" t="s">
        <v>466</v>
      </c>
      <c r="N2" s="67"/>
      <c r="O2" s="85"/>
    </row>
    <row r="3" spans="1:15" ht="22.5" customHeight="1">
      <c r="A3" s="80"/>
      <c r="B3" s="706" t="s">
        <v>212</v>
      </c>
      <c r="C3" s="707"/>
      <c r="D3" s="32" t="s">
        <v>18</v>
      </c>
      <c r="E3" s="33" t="s">
        <v>85</v>
      </c>
      <c r="F3" s="33" t="s">
        <v>86</v>
      </c>
      <c r="G3" s="32" t="s">
        <v>18</v>
      </c>
      <c r="H3" s="33" t="s">
        <v>85</v>
      </c>
      <c r="I3" s="33" t="s">
        <v>86</v>
      </c>
      <c r="J3" s="32" t="s">
        <v>18</v>
      </c>
      <c r="K3" s="33" t="s">
        <v>85</v>
      </c>
      <c r="L3" s="33" t="s">
        <v>86</v>
      </c>
      <c r="M3" s="32" t="s">
        <v>18</v>
      </c>
      <c r="N3" s="33" t="s">
        <v>85</v>
      </c>
      <c r="O3" s="86" t="s">
        <v>86</v>
      </c>
    </row>
    <row r="4" spans="1:15" ht="13.35" customHeight="1">
      <c r="A4" s="49"/>
      <c r="B4" s="16" t="s">
        <v>117</v>
      </c>
      <c r="C4" s="16"/>
      <c r="D4" s="62">
        <f>A2.4.1!D4/A2.4.1!D$38</f>
        <v>0.13025563345539443</v>
      </c>
      <c r="E4" s="58">
        <f>A2.4.1!E4/A2.4.1!E$38</f>
        <v>0.19195409208869446</v>
      </c>
      <c r="F4" s="58">
        <f>A2.4.1!F4/A2.4.1!F$38</f>
        <v>0.17563416705811805</v>
      </c>
      <c r="G4" s="62">
        <f>A2.4.1!G4/A2.4.1!G$38</f>
        <v>0.13025563345539448</v>
      </c>
      <c r="H4" s="58">
        <f>A2.4.1!H4/A2.4.1!H$38</f>
        <v>0.19195409208869446</v>
      </c>
      <c r="I4" s="58">
        <f>A2.4.1!I4/A2.4.1!I$38</f>
        <v>0.17563416705811799</v>
      </c>
      <c r="J4" s="62">
        <f>A2.4.1!J4/A2.4.1!J$38</f>
        <v>0.11996889283900457</v>
      </c>
      <c r="K4" s="58">
        <f>A2.4.1!K4/A2.4.1!K$38</f>
        <v>0.18390338452544158</v>
      </c>
      <c r="L4" s="58">
        <f>A2.4.1!L4/A2.4.1!L$38</f>
        <v>0.16415919212956817</v>
      </c>
      <c r="M4" s="62">
        <f>A2.4.1!M4/A2.4.1!M$38</f>
        <v>0.13025563345539443</v>
      </c>
      <c r="N4" s="58">
        <f>A2.4.1!N4/A2.4.1!N$38</f>
        <v>0.19195409208869438</v>
      </c>
      <c r="O4" s="59">
        <f>A2.4.1!O4/A2.4.1!O$38</f>
        <v>0.17563416705811799</v>
      </c>
    </row>
    <row r="5" spans="1:15" ht="13.35" customHeight="1">
      <c r="A5" s="49"/>
      <c r="B5" s="16" t="s">
        <v>118</v>
      </c>
      <c r="C5" s="16"/>
      <c r="D5" s="62">
        <f>A2.4.1!D5/A2.4.1!D$38</f>
        <v>4.2726015689598863E-2</v>
      </c>
      <c r="E5" s="58">
        <f>A2.4.1!E5/A2.4.1!E$38</f>
        <v>-3.2753268301907154E-2</v>
      </c>
      <c r="F5" s="58">
        <f>A2.4.1!F5/A2.4.1!F$38</f>
        <v>2.2671431560213281E-2</v>
      </c>
      <c r="G5" s="62">
        <f>A2.4.1!G5/A2.4.1!G$38</f>
        <v>4.2726015689598877E-2</v>
      </c>
      <c r="H5" s="58">
        <f>A2.4.1!H5/A2.4.1!H$38</f>
        <v>-3.2753268301907147E-2</v>
      </c>
      <c r="I5" s="58">
        <f>A2.4.1!I5/A2.4.1!I$38</f>
        <v>2.2671431560213274E-2</v>
      </c>
      <c r="J5" s="62">
        <f>A2.4.1!J5/A2.4.1!J$38</f>
        <v>4.3721432199085829E-2</v>
      </c>
      <c r="K5" s="58">
        <f>A2.4.1!K5/A2.4.1!K$38</f>
        <v>-3.7848148471729431E-2</v>
      </c>
      <c r="L5" s="58">
        <f>A2.4.1!L5/A2.4.1!L$38</f>
        <v>2.3024991604318361E-2</v>
      </c>
      <c r="M5" s="62">
        <f>A2.4.1!M5/A2.4.1!M$38</f>
        <v>4.2726015689598863E-2</v>
      </c>
      <c r="N5" s="58">
        <f>A2.4.1!N5/A2.4.1!N$38</f>
        <v>-3.2753268301907133E-2</v>
      </c>
      <c r="O5" s="59">
        <f>A2.4.1!O5/A2.4.1!O$38</f>
        <v>2.267143156021327E-2</v>
      </c>
    </row>
    <row r="6" spans="1:15" ht="13.35" customHeight="1">
      <c r="A6" s="49"/>
      <c r="B6" s="16" t="s">
        <v>139</v>
      </c>
      <c r="C6" s="16"/>
      <c r="D6" s="62">
        <f>A2.4.1!D6/A2.4.1!D$38</f>
        <v>1.6433082957538025E-3</v>
      </c>
      <c r="E6" s="58">
        <f>A2.4.1!E6/A2.4.1!E$38</f>
        <v>1.6039908313055322E-3</v>
      </c>
      <c r="F6" s="58">
        <f>A2.4.1!F6/A2.4.1!F$38</f>
        <v>1.2002245912206683E-3</v>
      </c>
      <c r="G6" s="62">
        <f>A2.4.1!G6/A2.4.1!G$38</f>
        <v>1.6433082957538032E-3</v>
      </c>
      <c r="H6" s="58">
        <f>A2.4.1!H6/A2.4.1!H$38</f>
        <v>1.603990831305532E-3</v>
      </c>
      <c r="I6" s="58">
        <f>A2.4.1!I6/A2.4.1!I$38</f>
        <v>1.2002245912206681E-3</v>
      </c>
      <c r="J6" s="62">
        <f>A2.4.1!J6/A2.4.1!J$38</f>
        <v>1.5775774504824785E-3</v>
      </c>
      <c r="K6" s="58">
        <f>A2.4.1!K6/A2.4.1!K$38</f>
        <v>1.5671479929005626E-3</v>
      </c>
      <c r="L6" s="58">
        <f>A2.4.1!L6/A2.4.1!L$38</f>
        <v>1.3269107325271309E-3</v>
      </c>
      <c r="M6" s="62">
        <f>A2.4.1!M6/A2.4.1!M$38</f>
        <v>1.6433082957538025E-3</v>
      </c>
      <c r="N6" s="58">
        <f>A2.4.1!N6/A2.4.1!N$38</f>
        <v>1.6039908313055312E-3</v>
      </c>
      <c r="O6" s="59">
        <f>A2.4.1!O6/A2.4.1!O$38</f>
        <v>1.2002245912206679E-3</v>
      </c>
    </row>
    <row r="7" spans="1:15" ht="13.35" customHeight="1">
      <c r="A7" s="49"/>
      <c r="B7" s="16" t="s">
        <v>119</v>
      </c>
      <c r="C7" s="16"/>
      <c r="D7" s="62">
        <f>A2.4.1!D7/A2.4.1!D$38</f>
        <v>1.4633434549080372E-2</v>
      </c>
      <c r="E7" s="58">
        <f>A2.4.1!E7/A2.4.1!E$38</f>
        <v>1.4098629518652867E-3</v>
      </c>
      <c r="F7" s="58">
        <f>A2.4.1!F7/A2.4.1!F$38</f>
        <v>3.8457129226533524E-3</v>
      </c>
      <c r="G7" s="62">
        <f>A2.4.1!G7/A2.4.1!G$38</f>
        <v>1.4633434549080377E-2</v>
      </c>
      <c r="H7" s="58">
        <f>A2.4.1!H7/A2.4.1!H$38</f>
        <v>1.4098629518652863E-3</v>
      </c>
      <c r="I7" s="58">
        <f>A2.4.1!I7/A2.4.1!I$38</f>
        <v>3.8457129226533516E-3</v>
      </c>
      <c r="J7" s="62">
        <f>A2.4.1!J7/A2.4.1!J$38</f>
        <v>1.5217115286947689E-2</v>
      </c>
      <c r="K7" s="58">
        <f>A2.4.1!K7/A2.4.1!K$38</f>
        <v>4.6235111435581009E-4</v>
      </c>
      <c r="L7" s="58">
        <f>A2.4.1!L7/A2.4.1!L$38</f>
        <v>3.9461934018786499E-3</v>
      </c>
      <c r="M7" s="62">
        <f>A2.4.1!M7/A2.4.1!M$38</f>
        <v>1.4633434549080372E-2</v>
      </c>
      <c r="N7" s="58">
        <f>A2.4.1!N7/A2.4.1!N$38</f>
        <v>1.4098629518652858E-3</v>
      </c>
      <c r="O7" s="59">
        <f>A2.4.1!O7/A2.4.1!O$38</f>
        <v>3.8457129226533511E-3</v>
      </c>
    </row>
    <row r="8" spans="1:15" ht="13.35" customHeight="1">
      <c r="A8" s="49"/>
      <c r="B8" s="16" t="s">
        <v>140</v>
      </c>
      <c r="C8" s="16"/>
      <c r="D8" s="62">
        <f>A2.4.1!D8/A2.4.1!D$38</f>
        <v>3.8772347950554839E-3</v>
      </c>
      <c r="E8" s="58">
        <f>A2.4.1!E8/A2.4.1!E$38</f>
        <v>7.6259803070782128E-3</v>
      </c>
      <c r="F8" s="58">
        <f>A2.4.1!F8/A2.4.1!F$38</f>
        <v>6.7776058405495908E-3</v>
      </c>
      <c r="G8" s="62">
        <f>A2.4.1!G8/A2.4.1!G$38</f>
        <v>3.8772347950554848E-3</v>
      </c>
      <c r="H8" s="58">
        <f>A2.4.1!H8/A2.4.1!H$38</f>
        <v>7.6259803070782119E-3</v>
      </c>
      <c r="I8" s="58">
        <f>A2.4.1!I8/A2.4.1!I$38</f>
        <v>6.7776058405495882E-3</v>
      </c>
      <c r="J8" s="62">
        <f>A2.4.1!J8/A2.4.1!J$38</f>
        <v>3.2122905027932962E-3</v>
      </c>
      <c r="K8" s="58">
        <f>A2.4.1!K8/A2.4.1!K$38</f>
        <v>6.9167317449650035E-3</v>
      </c>
      <c r="L8" s="58">
        <f>A2.4.1!L8/A2.4.1!L$38</f>
        <v>6.2782206958588689E-3</v>
      </c>
      <c r="M8" s="62">
        <f>A2.4.1!M8/A2.4.1!M$38</f>
        <v>3.8772347950554835E-3</v>
      </c>
      <c r="N8" s="58">
        <f>A2.4.1!N8/A2.4.1!N$38</f>
        <v>7.6259803070782084E-3</v>
      </c>
      <c r="O8" s="59">
        <f>A2.4.1!O8/A2.4.1!O$38</f>
        <v>6.7776058405495864E-3</v>
      </c>
    </row>
    <row r="9" spans="1:15" ht="13.35" customHeight="1">
      <c r="A9" s="49"/>
      <c r="B9" s="16" t="s">
        <v>120</v>
      </c>
      <c r="C9" s="16"/>
      <c r="D9" s="62">
        <f>A2.4.1!D9/A2.4.1!D$38</f>
        <v>2.6265138934246824E-3</v>
      </c>
      <c r="E9" s="58">
        <f>A2.4.1!E9/A2.4.1!E$38</f>
        <v>2.6295277371551134E-3</v>
      </c>
      <c r="F9" s="58">
        <f>A2.4.1!F9/A2.4.1!F$38</f>
        <v>2.0966646850495859E-3</v>
      </c>
      <c r="G9" s="62">
        <f>A2.4.1!G9/A2.4.1!G$38</f>
        <v>2.6265138934246832E-3</v>
      </c>
      <c r="H9" s="58">
        <f>A2.4.1!H9/A2.4.1!H$38</f>
        <v>2.629527737155113E-3</v>
      </c>
      <c r="I9" s="58">
        <f>A2.4.1!I9/A2.4.1!I$38</f>
        <v>2.0966646850495855E-3</v>
      </c>
      <c r="J9" s="62">
        <f>A2.4.1!J9/A2.4.1!J$38</f>
        <v>2.7647282884713052E-3</v>
      </c>
      <c r="K9" s="58">
        <f>A2.4.1!K9/A2.4.1!K$38</f>
        <v>2.3735051080406031E-3</v>
      </c>
      <c r="L9" s="58">
        <f>A2.4.1!L9/A2.4.1!L$38</f>
        <v>1.8185853538935156E-3</v>
      </c>
      <c r="M9" s="62">
        <f>A2.4.1!M9/A2.4.1!M$38</f>
        <v>2.6265138934246824E-3</v>
      </c>
      <c r="N9" s="58">
        <f>A2.4.1!N9/A2.4.1!N$38</f>
        <v>2.6295277371551117E-3</v>
      </c>
      <c r="O9" s="59">
        <f>A2.4.1!O9/A2.4.1!O$38</f>
        <v>2.096664685049585E-3</v>
      </c>
    </row>
    <row r="10" spans="1:15" s="51" customFormat="1" ht="13.35" customHeight="1">
      <c r="A10" s="49"/>
      <c r="B10" s="16" t="s">
        <v>141</v>
      </c>
      <c r="C10" s="16"/>
      <c r="D10" s="62">
        <f>A2.4.1!D10/A2.4.1!D$38</f>
        <v>1.2576693510843056E-3</v>
      </c>
      <c r="E10" s="58">
        <f>A2.4.1!E10/A2.4.1!E$38</f>
        <v>2.2284584840333364E-3</v>
      </c>
      <c r="F10" s="58">
        <f>A2.4.1!F10/A2.4.1!F$38</f>
        <v>1.6998380430725613E-3</v>
      </c>
      <c r="G10" s="62">
        <f>A2.4.1!G10/A2.4.1!G$38</f>
        <v>1.257669351084306E-3</v>
      </c>
      <c r="H10" s="58">
        <f>A2.4.1!H10/A2.4.1!H$38</f>
        <v>2.2284584840333355E-3</v>
      </c>
      <c r="I10" s="58">
        <f>A2.4.1!I10/A2.4.1!I$38</f>
        <v>1.6998380430725609E-3</v>
      </c>
      <c r="J10" s="62">
        <f>A2.4.1!J10/A2.4.1!J$38</f>
        <v>1.0887506348400203E-3</v>
      </c>
      <c r="K10" s="58">
        <f>A2.4.1!K10/A2.4.1!K$38</f>
        <v>2.198824610921257E-3</v>
      </c>
      <c r="L10" s="58">
        <f>A2.4.1!L10/A2.4.1!L$38</f>
        <v>1.8206808599820026E-3</v>
      </c>
      <c r="M10" s="62">
        <f>A2.4.1!M10/A2.4.1!M$38</f>
        <v>1.2576693510843056E-3</v>
      </c>
      <c r="N10" s="58">
        <f>A2.4.1!N10/A2.4.1!N$38</f>
        <v>2.2284584840333351E-3</v>
      </c>
      <c r="O10" s="59">
        <f>A2.4.1!O10/A2.4.1!O$38</f>
        <v>1.6998380430725604E-3</v>
      </c>
    </row>
    <row r="11" spans="1:15" s="1" customFormat="1" ht="13.35" customHeight="1">
      <c r="A11" s="26"/>
      <c r="B11" s="16" t="s">
        <v>6</v>
      </c>
      <c r="C11" s="16"/>
      <c r="D11" s="62">
        <f>A2.4.1!D11/A2.4.1!D$38</f>
        <v>3.140004308038661E-2</v>
      </c>
      <c r="E11" s="58">
        <f>A2.4.1!E11/A2.4.1!E$38</f>
        <v>2.5778999189179808E-2</v>
      </c>
      <c r="F11" s="58">
        <f>A2.4.1!F11/A2.4.1!F$38</f>
        <v>2.1600889226490682E-2</v>
      </c>
      <c r="G11" s="62">
        <f>A2.4.1!G11/A2.4.1!G$38</f>
        <v>3.1400043080386623E-2</v>
      </c>
      <c r="H11" s="58">
        <f>A2.4.1!H11/A2.4.1!H$38</f>
        <v>2.5778999189179801E-2</v>
      </c>
      <c r="I11" s="58">
        <f>A2.4.1!I11/A2.4.1!I$38</f>
        <v>2.1600889226490675E-2</v>
      </c>
      <c r="J11" s="62">
        <f>A2.4.1!J11/A2.4.1!J$38</f>
        <v>3.3478288471305233E-2</v>
      </c>
      <c r="K11" s="58">
        <f>A2.4.1!K11/A2.4.1!K$38</f>
        <v>2.5768109713643177E-2</v>
      </c>
      <c r="L11" s="58">
        <f>A2.4.1!L11/A2.4.1!L$38</f>
        <v>2.2010473730542907E-2</v>
      </c>
      <c r="M11" s="62">
        <f>A2.4.1!M11/A2.4.1!M$38</f>
        <v>3.140004308038661E-2</v>
      </c>
      <c r="N11" s="58">
        <f>A2.4.1!N11/A2.4.1!N$38</f>
        <v>2.577899918917979E-2</v>
      </c>
      <c r="O11" s="59">
        <f>A2.4.1!O11/A2.4.1!O$38</f>
        <v>2.1600889226490672E-2</v>
      </c>
    </row>
    <row r="12" spans="1:15" s="1" customFormat="1" ht="13.35" customHeight="1">
      <c r="A12" s="26"/>
      <c r="B12" s="16" t="s">
        <v>121</v>
      </c>
      <c r="C12" s="16"/>
      <c r="D12" s="62">
        <f>A2.4.1!D12/A2.4.1!D$38</f>
        <v>2.4587088391225496E-2</v>
      </c>
      <c r="E12" s="58">
        <f>A2.4.1!E12/A2.4.1!E$38</f>
        <v>3.3119233628878461E-2</v>
      </c>
      <c r="F12" s="58">
        <f>A2.4.1!F12/A2.4.1!F$38</f>
        <v>2.4541751357870741E-2</v>
      </c>
      <c r="G12" s="62">
        <f>A2.4.1!G12/A2.4.1!G$38</f>
        <v>2.4587088391225503E-2</v>
      </c>
      <c r="H12" s="58">
        <f>A2.4.1!H12/A2.4.1!H$38</f>
        <v>3.3119233628878454E-2</v>
      </c>
      <c r="I12" s="58">
        <f>A2.4.1!I12/A2.4.1!I$38</f>
        <v>2.4541751357870734E-2</v>
      </c>
      <c r="J12" s="62">
        <f>A2.4.1!J12/A2.4.1!J$38</f>
        <v>2.3381157948197055E-2</v>
      </c>
      <c r="K12" s="58">
        <f>A2.4.1!K12/A2.4.1!K$38</f>
        <v>3.3446230133730562E-2</v>
      </c>
      <c r="L12" s="58">
        <f>A2.4.1!L12/A2.4.1!L$38</f>
        <v>2.4041149229477109E-2</v>
      </c>
      <c r="M12" s="62">
        <f>A2.4.1!M12/A2.4.1!M$38</f>
        <v>2.4587088391225496E-2</v>
      </c>
      <c r="N12" s="58">
        <f>A2.4.1!N12/A2.4.1!N$38</f>
        <v>3.311923362887844E-2</v>
      </c>
      <c r="O12" s="59">
        <f>A2.4.1!O12/A2.4.1!O$38</f>
        <v>2.4541751357870734E-2</v>
      </c>
    </row>
    <row r="13" spans="1:15" s="1" customFormat="1" ht="13.35" customHeight="1">
      <c r="A13" s="26"/>
      <c r="B13" s="27" t="s">
        <v>142</v>
      </c>
      <c r="C13" s="27"/>
      <c r="D13" s="62">
        <f>A2.4.1!D13/A2.4.1!D$38</f>
        <v>2.869709624297338E-3</v>
      </c>
      <c r="E13" s="58">
        <f>A2.4.1!E13/A2.4.1!E$38</f>
        <v>4.4860456660513141E-3</v>
      </c>
      <c r="F13" s="58">
        <f>A2.4.1!F13/A2.4.1!F$38</f>
        <v>3.7698240351836609E-3</v>
      </c>
      <c r="G13" s="62">
        <f>A2.4.1!G13/A2.4.1!G$38</f>
        <v>2.8697096242973389E-3</v>
      </c>
      <c r="H13" s="58">
        <f>A2.4.1!H13/A2.4.1!H$38</f>
        <v>4.4860456660513132E-3</v>
      </c>
      <c r="I13" s="58">
        <f>A2.4.1!I13/A2.4.1!I$38</f>
        <v>3.7698240351836595E-3</v>
      </c>
      <c r="J13" s="62">
        <f>A2.4.1!J13/A2.4.1!J$38</f>
        <v>2.8472574911122396E-3</v>
      </c>
      <c r="K13" s="58">
        <f>A2.4.1!K13/A2.4.1!K$38</f>
        <v>4.0928213924056782E-3</v>
      </c>
      <c r="L13" s="58">
        <f>A2.4.1!L13/A2.4.1!L$38</f>
        <v>3.308753014521203E-3</v>
      </c>
      <c r="M13" s="62">
        <f>A2.4.1!M13/A2.4.1!M$38</f>
        <v>2.869709624297338E-3</v>
      </c>
      <c r="N13" s="58">
        <f>A2.4.1!N13/A2.4.1!N$38</f>
        <v>4.4860456660513115E-3</v>
      </c>
      <c r="O13" s="59">
        <f>A2.4.1!O13/A2.4.1!O$38</f>
        <v>3.7698240351836591E-3</v>
      </c>
    </row>
    <row r="14" spans="1:15" s="1" customFormat="1" ht="13.35" customHeight="1">
      <c r="A14" s="26"/>
      <c r="B14" s="27" t="s">
        <v>143</v>
      </c>
      <c r="C14" s="27"/>
      <c r="D14" s="62">
        <f>A2.4.1!D14/A2.4.1!D$38</f>
        <v>0.27827497793867301</v>
      </c>
      <c r="E14" s="58">
        <f>A2.4.1!E14/A2.4.1!E$38</f>
        <v>0.38440999052477248</v>
      </c>
      <c r="F14" s="58">
        <f>A2.4.1!F14/A2.4.1!F$38</f>
        <v>0.36768820438177158</v>
      </c>
      <c r="G14" s="62">
        <f>A2.4.1!G14/A2.4.1!G$38</f>
        <v>0.27827497793867312</v>
      </c>
      <c r="H14" s="58">
        <f>A2.4.1!H14/A2.4.1!H$38</f>
        <v>0.38440999052477232</v>
      </c>
      <c r="I14" s="58">
        <f>A2.4.1!I14/A2.4.1!I$38</f>
        <v>0.36768820438177152</v>
      </c>
      <c r="J14" s="62">
        <f>A2.4.1!J14/A2.4.1!J$38</f>
        <v>0.25999873031995935</v>
      </c>
      <c r="K14" s="58">
        <f>A2.4.1!K14/A2.4.1!K$38</f>
        <v>0.35633787839108294</v>
      </c>
      <c r="L14" s="58">
        <f>A2.4.1!L14/A2.4.1!L$38</f>
        <v>0.33090628643953501</v>
      </c>
      <c r="M14" s="62">
        <f>A2.4.1!M14/A2.4.1!M$38</f>
        <v>0.27827497793867301</v>
      </c>
      <c r="N14" s="58">
        <f>A2.4.1!N14/A2.4.1!N$38</f>
        <v>0.38440999052477226</v>
      </c>
      <c r="O14" s="59">
        <f>A2.4.1!O14/A2.4.1!O$38</f>
        <v>0.36768820438177141</v>
      </c>
    </row>
    <row r="15" spans="1:15" customFormat="1" ht="13.35" customHeight="1">
      <c r="A15" s="26"/>
      <c r="B15" s="27" t="s">
        <v>122</v>
      </c>
      <c r="C15" s="27"/>
      <c r="D15" s="62">
        <f>A2.4.1!D15/A2.4.1!D$38</f>
        <v>5.7185739002341626E-3</v>
      </c>
      <c r="E15" s="58">
        <f>A2.4.1!E15/A2.4.1!E$38</f>
        <v>6.4316159197552354E-3</v>
      </c>
      <c r="F15" s="58">
        <f>A2.4.1!F15/A2.4.1!F$38</f>
        <v>6.723390550374693E-3</v>
      </c>
      <c r="G15" s="62">
        <f>A2.4.1!G15/A2.4.1!G$38</f>
        <v>5.7185739002341644E-3</v>
      </c>
      <c r="H15" s="58">
        <f>A2.4.1!H15/A2.4.1!H$38</f>
        <v>6.4316159197552345E-3</v>
      </c>
      <c r="I15" s="58">
        <f>A2.4.1!I15/A2.4.1!I$38</f>
        <v>6.7233905503746912E-3</v>
      </c>
      <c r="J15" s="62">
        <f>A2.4.1!J15/A2.4.1!J$38</f>
        <v>5.6849923819197561E-3</v>
      </c>
      <c r="K15" s="58">
        <f>A2.4.1!K15/A2.4.1!K$38</f>
        <v>5.5109083777739095E-3</v>
      </c>
      <c r="L15" s="58">
        <f>A2.4.1!L15/A2.4.1!L$38</f>
        <v>5.8369933364698931E-3</v>
      </c>
      <c r="M15" s="62">
        <f>A2.4.1!M15/A2.4.1!M$38</f>
        <v>5.7185739002341626E-3</v>
      </c>
      <c r="N15" s="58">
        <f>A2.4.1!N15/A2.4.1!N$38</f>
        <v>6.4316159197552319E-3</v>
      </c>
      <c r="O15" s="59">
        <f>A2.4.1!O15/A2.4.1!O$38</f>
        <v>6.7233905503746904E-3</v>
      </c>
    </row>
    <row r="16" spans="1:15" customFormat="1" ht="13.35" customHeight="1">
      <c r="A16" s="26"/>
      <c r="B16" s="27" t="s">
        <v>144</v>
      </c>
      <c r="C16" s="27"/>
      <c r="D16" s="62">
        <f>A2.4.1!D16/A2.4.1!D$38</f>
        <v>2.8488642759368245E-4</v>
      </c>
      <c r="E16" s="58">
        <f>A2.4.1!E16/A2.4.1!E$38</f>
        <v>1.4965402145628847E-4</v>
      </c>
      <c r="F16" s="58">
        <f>A2.4.1!F16/A2.4.1!F$38</f>
        <v>9.3797254890418732E-5</v>
      </c>
      <c r="G16" s="62">
        <f>A2.4.1!G16/A2.4.1!G$38</f>
        <v>2.8488642759368256E-4</v>
      </c>
      <c r="H16" s="58">
        <f>A2.4.1!H16/A2.4.1!H$38</f>
        <v>1.4965402145628845E-4</v>
      </c>
      <c r="I16" s="58">
        <f>A2.4.1!I16/A2.4.1!I$38</f>
        <v>9.3797254890418705E-5</v>
      </c>
      <c r="J16" s="62">
        <f>A2.4.1!J16/A2.4.1!J$38</f>
        <v>3.5233621127475878E-4</v>
      </c>
      <c r="K16" s="58">
        <f>A2.4.1!K16/A2.4.1!K$38</f>
        <v>1.9607103037992923E-4</v>
      </c>
      <c r="L16" s="58">
        <f>A2.4.1!L16/A2.4.1!L$38</f>
        <v>1.1429881593787104E-4</v>
      </c>
      <c r="M16" s="62">
        <f>A2.4.1!M16/A2.4.1!M$38</f>
        <v>2.8488642759368245E-4</v>
      </c>
      <c r="N16" s="58">
        <f>A2.4.1!N16/A2.4.1!N$38</f>
        <v>1.4965402145628839E-4</v>
      </c>
      <c r="O16" s="59">
        <f>A2.4.1!O16/A2.4.1!O$38</f>
        <v>9.3797254890418678E-5</v>
      </c>
    </row>
    <row r="17" spans="1:15" customFormat="1" ht="13.35" customHeight="1">
      <c r="A17" s="26"/>
      <c r="B17" s="27" t="s">
        <v>123</v>
      </c>
      <c r="C17" s="27"/>
      <c r="D17" s="62">
        <f>A2.4.1!D17/A2.4.1!D$38</f>
        <v>2.0317266202047012E-2</v>
      </c>
      <c r="E17" s="58">
        <f>A2.4.1!E17/A2.4.1!E$38</f>
        <v>3.5945568106675908E-2</v>
      </c>
      <c r="F17" s="58">
        <f>A2.4.1!F17/A2.4.1!F$38</f>
        <v>2.7686725297540106E-2</v>
      </c>
      <c r="G17" s="62">
        <f>A2.4.1!G17/A2.4.1!G$38</f>
        <v>2.0317266202047018E-2</v>
      </c>
      <c r="H17" s="58">
        <f>A2.4.1!H17/A2.4.1!H$38</f>
        <v>3.5945568106675894E-2</v>
      </c>
      <c r="I17" s="58">
        <f>A2.4.1!I17/A2.4.1!I$38</f>
        <v>2.7686725297540099E-2</v>
      </c>
      <c r="J17" s="62">
        <f>A2.4.1!J17/A2.4.1!J$38</f>
        <v>1.7505713560182833E-2</v>
      </c>
      <c r="K17" s="58">
        <f>A2.4.1!K17/A2.4.1!K$38</f>
        <v>3.2145574106956003E-2</v>
      </c>
      <c r="L17" s="58">
        <f>A2.4.1!L17/A2.4.1!L$38</f>
        <v>2.3399982864011813E-2</v>
      </c>
      <c r="M17" s="62">
        <f>A2.4.1!M17/A2.4.1!M$38</f>
        <v>2.0317266202047012E-2</v>
      </c>
      <c r="N17" s="58">
        <f>A2.4.1!N17/A2.4.1!N$38</f>
        <v>3.5945568106675881E-2</v>
      </c>
      <c r="O17" s="59">
        <f>A2.4.1!O17/A2.4.1!O$38</f>
        <v>2.7686725297540096E-2</v>
      </c>
    </row>
    <row r="18" spans="1:15" customFormat="1" ht="13.35" customHeight="1">
      <c r="A18" s="26"/>
      <c r="B18" s="27" t="s">
        <v>124</v>
      </c>
      <c r="C18" s="27"/>
      <c r="D18" s="62">
        <f>A2.4.1!D18/A2.4.1!D$38</f>
        <v>6.2536045081540053E-3</v>
      </c>
      <c r="E18" s="58">
        <f>A2.4.1!E18/A2.4.1!E$38</f>
        <v>8.1545813188939956E-3</v>
      </c>
      <c r="F18" s="58">
        <f>A2.4.1!F18/A2.4.1!F$38</f>
        <v>6.9652259431976834E-3</v>
      </c>
      <c r="G18" s="62">
        <f>A2.4.1!G18/A2.4.1!G$38</f>
        <v>6.2536045081540079E-3</v>
      </c>
      <c r="H18" s="58">
        <f>A2.4.1!H18/A2.4.1!H$38</f>
        <v>8.1545813188939938E-3</v>
      </c>
      <c r="I18" s="58">
        <f>A2.4.1!I18/A2.4.1!I$38</f>
        <v>6.9652259431976817E-3</v>
      </c>
      <c r="J18" s="62">
        <f>A2.4.1!J18/A2.4.1!J$38</f>
        <v>5.8722701879126461E-3</v>
      </c>
      <c r="K18" s="58">
        <f>A2.4.1!K18/A2.4.1!K$38</f>
        <v>6.723893463217682E-3</v>
      </c>
      <c r="L18" s="58">
        <f>A2.4.1!L18/A2.4.1!L$38</f>
        <v>6.3943415901414691E-3</v>
      </c>
      <c r="M18" s="62">
        <f>A2.4.1!M18/A2.4.1!M$38</f>
        <v>6.2536045081540053E-3</v>
      </c>
      <c r="N18" s="58">
        <f>A2.4.1!N18/A2.4.1!N$38</f>
        <v>8.1545813188939904E-3</v>
      </c>
      <c r="O18" s="59">
        <f>A2.4.1!O18/A2.4.1!O$38</f>
        <v>6.9652259431976808E-3</v>
      </c>
    </row>
    <row r="19" spans="1:15" customFormat="1" ht="13.35" customHeight="1">
      <c r="A19" s="26"/>
      <c r="B19" s="27" t="s">
        <v>145</v>
      </c>
      <c r="C19" s="27"/>
      <c r="D19" s="62">
        <f>A2.4.1!D19/A2.4.1!D$38</f>
        <v>3.5669865269565094E-2</v>
      </c>
      <c r="E19" s="58">
        <f>A2.4.1!E19/A2.4.1!E$38</f>
        <v>7.7052959259195725E-2</v>
      </c>
      <c r="F19" s="58">
        <f>A2.4.1!F19/A2.4.1!F$38</f>
        <v>6.9250889090293172E-2</v>
      </c>
      <c r="G19" s="62">
        <f>A2.4.1!G19/A2.4.1!G$38</f>
        <v>3.5669865269565108E-2</v>
      </c>
      <c r="H19" s="58">
        <f>A2.4.1!H19/A2.4.1!H$38</f>
        <v>7.7052959259195711E-2</v>
      </c>
      <c r="I19" s="58">
        <f>A2.4.1!I19/A2.4.1!I$38</f>
        <v>6.9250889090293172E-2</v>
      </c>
      <c r="J19" s="62">
        <f>A2.4.1!J19/A2.4.1!J$38</f>
        <v>3.2513331640426614E-2</v>
      </c>
      <c r="K19" s="58">
        <f>A2.4.1!K19/A2.4.1!K$38</f>
        <v>7.5617319375051784E-2</v>
      </c>
      <c r="L19" s="58">
        <f>A2.4.1!L19/A2.4.1!L$38</f>
        <v>6.3546274862731053E-2</v>
      </c>
      <c r="M19" s="62">
        <f>A2.4.1!M19/A2.4.1!M$38</f>
        <v>3.5669865269565094E-2</v>
      </c>
      <c r="N19" s="58">
        <f>A2.4.1!N19/A2.4.1!N$38</f>
        <v>7.7052959259195683E-2</v>
      </c>
      <c r="O19" s="59">
        <f>A2.4.1!O19/A2.4.1!O$38</f>
        <v>6.9250889090293144E-2</v>
      </c>
    </row>
    <row r="20" spans="1:15" customFormat="1" ht="13.35" customHeight="1">
      <c r="A20" s="26"/>
      <c r="B20" s="27" t="s">
        <v>7</v>
      </c>
      <c r="C20" s="27"/>
      <c r="D20" s="62">
        <f>A2.4.1!D20/A2.4.1!D$38</f>
        <v>5.541388439169799E-3</v>
      </c>
      <c r="E20" s="58">
        <f>A2.4.1!E20/A2.4.1!E$38</f>
        <v>7.1724850265264253E-3</v>
      </c>
      <c r="F20" s="58">
        <f>A2.4.1!F20/A2.4.1!F$38</f>
        <v>6.5125415405011362E-3</v>
      </c>
      <c r="G20" s="62">
        <f>A2.4.1!G20/A2.4.1!G$38</f>
        <v>5.5413884391698016E-3</v>
      </c>
      <c r="H20" s="58">
        <f>A2.4.1!H20/A2.4.1!H$38</f>
        <v>7.1724850265264236E-3</v>
      </c>
      <c r="I20" s="58">
        <f>A2.4.1!I20/A2.4.1!I$38</f>
        <v>6.5125415405011336E-3</v>
      </c>
      <c r="J20" s="62">
        <f>A2.4.1!J20/A2.4.1!J$38</f>
        <v>5.1739461655662773E-3</v>
      </c>
      <c r="K20" s="58">
        <f>A2.4.1!K20/A2.4.1!K$38</f>
        <v>8.9921126341782984E-3</v>
      </c>
      <c r="L20" s="58">
        <f>A2.4.1!L20/A2.4.1!L$38</f>
        <v>8.8250678980322066E-3</v>
      </c>
      <c r="M20" s="62">
        <f>A2.4.1!M20/A2.4.1!M$38</f>
        <v>5.541388439169799E-3</v>
      </c>
      <c r="N20" s="58">
        <f>A2.4.1!N20/A2.4.1!N$38</f>
        <v>7.172485026526421E-3</v>
      </c>
      <c r="O20" s="59">
        <f>A2.4.1!O20/A2.4.1!O$38</f>
        <v>6.5125415405011327E-3</v>
      </c>
    </row>
    <row r="21" spans="1:15" customFormat="1" ht="13.35" customHeight="1">
      <c r="A21" s="26"/>
      <c r="B21" s="27" t="s">
        <v>125</v>
      </c>
      <c r="C21" s="27"/>
      <c r="D21" s="62">
        <f>A2.4.1!D21/A2.4.1!D$38</f>
        <v>6.6114496550094843E-3</v>
      </c>
      <c r="E21" s="58">
        <f>A2.4.1!E21/A2.4.1!E$38</f>
        <v>2.4471076003647268E-2</v>
      </c>
      <c r="F21" s="58">
        <f>A2.4.1!F21/A2.4.1!F$38</f>
        <v>2.5456352186521331E-2</v>
      </c>
      <c r="G21" s="62">
        <f>A2.4.1!G21/A2.4.1!G$38</f>
        <v>6.6114496550094869E-3</v>
      </c>
      <c r="H21" s="58">
        <f>A2.4.1!H21/A2.4.1!H$38</f>
        <v>2.4471076003647264E-2</v>
      </c>
      <c r="I21" s="58">
        <f>A2.4.1!I21/A2.4.1!I$38</f>
        <v>2.5456352186521328E-2</v>
      </c>
      <c r="J21" s="62">
        <f>A2.4.1!J21/A2.4.1!J$38</f>
        <v>6.3261808024377853E-3</v>
      </c>
      <c r="K21" s="58">
        <f>A2.4.1!K21/A2.4.1!K$38</f>
        <v>2.1258079722752465E-2</v>
      </c>
      <c r="L21" s="58">
        <f>A2.4.1!L21/A2.4.1!L$38</f>
        <v>2.0672146496261593E-2</v>
      </c>
      <c r="M21" s="62">
        <f>A2.4.1!M21/A2.4.1!M$38</f>
        <v>6.6114496550094843E-3</v>
      </c>
      <c r="N21" s="58">
        <f>A2.4.1!N21/A2.4.1!N$38</f>
        <v>2.4471076003647254E-2</v>
      </c>
      <c r="O21" s="59">
        <f>A2.4.1!O21/A2.4.1!O$38</f>
        <v>2.5456352186521321E-2</v>
      </c>
    </row>
    <row r="22" spans="1:15" customFormat="1" ht="13.35" customHeight="1">
      <c r="A22" s="26"/>
      <c r="B22" s="27" t="s">
        <v>126</v>
      </c>
      <c r="C22" s="27"/>
      <c r="D22" s="62">
        <f>A2.4.1!D22/A2.4.1!D$38</f>
        <v>3.7730080532529164E-3</v>
      </c>
      <c r="E22" s="58">
        <f>A2.4.1!E22/A2.4.1!E$38</f>
        <v>2.6686459501302231E-3</v>
      </c>
      <c r="F22" s="58">
        <f>A2.4.1!F22/A2.4.1!F$38</f>
        <v>2.0900275008734568E-3</v>
      </c>
      <c r="G22" s="62">
        <f>A2.4.1!G22/A2.4.1!G$38</f>
        <v>3.7730080532529177E-3</v>
      </c>
      <c r="H22" s="58">
        <f>A2.4.1!H22/A2.4.1!H$38</f>
        <v>2.6686459501302226E-3</v>
      </c>
      <c r="I22" s="58">
        <f>A2.4.1!I22/A2.4.1!I$38</f>
        <v>2.0900275008734568E-3</v>
      </c>
      <c r="J22" s="62">
        <f>A2.4.1!J22/A2.4.1!J$38</f>
        <v>3.8344337227018792E-3</v>
      </c>
      <c r="K22" s="58">
        <f>A2.4.1!K22/A2.4.1!K$38</f>
        <v>2.6835269064886171E-3</v>
      </c>
      <c r="L22" s="58">
        <f>A2.4.1!L22/A2.4.1!L$38</f>
        <v>1.9191316509075303E-3</v>
      </c>
      <c r="M22" s="62">
        <f>A2.4.1!M22/A2.4.1!M$38</f>
        <v>3.7730080532529164E-3</v>
      </c>
      <c r="N22" s="58">
        <f>A2.4.1!N22/A2.4.1!N$38</f>
        <v>2.6686459501302218E-3</v>
      </c>
      <c r="O22" s="59">
        <f>A2.4.1!O22/A2.4.1!O$38</f>
        <v>2.0900275008734564E-3</v>
      </c>
    </row>
    <row r="23" spans="1:15" customFormat="1" ht="13.35" customHeight="1">
      <c r="A23" s="26"/>
      <c r="B23" s="27" t="s">
        <v>127</v>
      </c>
      <c r="C23" s="27"/>
      <c r="D23" s="62">
        <f>A2.4.1!D23/A2.4.1!D$38</f>
        <v>4.6068219876734505E-3</v>
      </c>
      <c r="E23" s="58">
        <f>A2.4.1!E23/A2.4.1!E$38</f>
        <v>4.5383586552104702E-3</v>
      </c>
      <c r="F23" s="58">
        <f>A2.4.1!F23/A2.4.1!F$38</f>
        <v>3.1631099266712834E-3</v>
      </c>
      <c r="G23" s="62">
        <f>A2.4.1!G23/A2.4.1!G$38</f>
        <v>4.6068219876734522E-3</v>
      </c>
      <c r="H23" s="58">
        <f>A2.4.1!H23/A2.4.1!H$38</f>
        <v>4.5383586552104694E-3</v>
      </c>
      <c r="I23" s="58">
        <f>A2.4.1!I23/A2.4.1!I$38</f>
        <v>3.1631099266712826E-3</v>
      </c>
      <c r="J23" s="62">
        <f>A2.4.1!J23/A2.4.1!J$38</f>
        <v>4.1740731335703401E-3</v>
      </c>
      <c r="K23" s="58">
        <f>A2.4.1!K23/A2.4.1!K$38</f>
        <v>4.3356074409794726E-3</v>
      </c>
      <c r="L23" s="58">
        <f>A2.4.1!L23/A2.4.1!L$38</f>
        <v>2.9553120116703187E-3</v>
      </c>
      <c r="M23" s="62">
        <f>A2.4.1!M23/A2.4.1!M$38</f>
        <v>4.6068219876734505E-3</v>
      </c>
      <c r="N23" s="58">
        <f>A2.4.1!N23/A2.4.1!N$38</f>
        <v>4.5383586552104676E-3</v>
      </c>
      <c r="O23" s="59">
        <f>A2.4.1!O23/A2.4.1!O$38</f>
        <v>3.1631099266712821E-3</v>
      </c>
    </row>
    <row r="24" spans="1:15" customFormat="1" ht="13.35" customHeight="1">
      <c r="A24" s="26"/>
      <c r="B24" s="27" t="s">
        <v>128</v>
      </c>
      <c r="C24" s="27"/>
      <c r="D24" s="62">
        <f>A2.4.1!D24/A2.4.1!D$38</f>
        <v>1.7819298623512163E-2</v>
      </c>
      <c r="E24" s="58">
        <f>A2.4.1!E24/A2.4.1!E$38</f>
        <v>5.9139238301628106E-3</v>
      </c>
      <c r="F24" s="58">
        <f>A2.4.1!F24/A2.4.1!F$38</f>
        <v>2.3714587413352461E-3</v>
      </c>
      <c r="G24" s="62">
        <f>A2.4.1!G24/A2.4.1!G$38</f>
        <v>1.781929862351217E-2</v>
      </c>
      <c r="H24" s="58">
        <f>A2.4.1!H24/A2.4.1!H$38</f>
        <v>5.913923830162808E-3</v>
      </c>
      <c r="I24" s="58">
        <f>A2.4.1!I24/A2.4.1!I$38</f>
        <v>2.3714587413352453E-3</v>
      </c>
      <c r="J24" s="62">
        <f>A2.4.1!J24/A2.4.1!J$38</f>
        <v>1.8965845606907058E-2</v>
      </c>
      <c r="K24" s="58">
        <f>A2.4.1!K24/A2.4.1!K$38</f>
        <v>6.3097808303110578E-3</v>
      </c>
      <c r="L24" s="58">
        <f>A2.4.1!L24/A2.4.1!L$38</f>
        <v>2.3591166414034612E-3</v>
      </c>
      <c r="M24" s="62">
        <f>A2.4.1!M24/A2.4.1!M$38</f>
        <v>1.7819298623512163E-2</v>
      </c>
      <c r="N24" s="58">
        <f>A2.4.1!N24/A2.4.1!N$38</f>
        <v>5.9139238301628063E-3</v>
      </c>
      <c r="O24" s="59">
        <f>A2.4.1!O24/A2.4.1!O$38</f>
        <v>2.3714587413352453E-3</v>
      </c>
    </row>
    <row r="25" spans="1:15" customFormat="1" ht="13.35" customHeight="1">
      <c r="A25" s="26"/>
      <c r="B25" s="27" t="s">
        <v>146</v>
      </c>
      <c r="C25" s="27"/>
      <c r="D25" s="62">
        <f>A2.4.1!D25/A2.4.1!D$38</f>
        <v>1.6902103295649576E-2</v>
      </c>
      <c r="E25" s="58">
        <f>A2.4.1!E25/A2.4.1!E$38</f>
        <v>2.3755927667772802E-2</v>
      </c>
      <c r="F25" s="58">
        <f>A2.4.1!F25/A2.4.1!F$38</f>
        <v>1.3547638063567815E-2</v>
      </c>
      <c r="G25" s="62">
        <f>A2.4.1!G25/A2.4.1!G$38</f>
        <v>1.6902103295649583E-2</v>
      </c>
      <c r="H25" s="58">
        <f>A2.4.1!H25/A2.4.1!H$38</f>
        <v>2.3755927667772795E-2</v>
      </c>
      <c r="I25" s="58">
        <f>A2.4.1!I25/A2.4.1!I$38</f>
        <v>1.354763806356781E-2</v>
      </c>
      <c r="J25" s="62">
        <f>A2.4.1!J25/A2.4.1!J$38</f>
        <v>1.3626841036058913E-2</v>
      </c>
      <c r="K25" s="58">
        <f>A2.4.1!K25/A2.4.1!K$38</f>
        <v>1.898122665906378E-2</v>
      </c>
      <c r="L25" s="58">
        <f>A2.4.1!L25/A2.4.1!L$38</f>
        <v>1.0456385593479205E-2</v>
      </c>
      <c r="M25" s="62">
        <f>A2.4.1!M25/A2.4.1!M$38</f>
        <v>1.6902103295649576E-2</v>
      </c>
      <c r="N25" s="58">
        <f>A2.4.1!N25/A2.4.1!N$38</f>
        <v>2.3755927667772781E-2</v>
      </c>
      <c r="O25" s="59">
        <f>A2.4.1!O25/A2.4.1!O$38</f>
        <v>1.3547638063567808E-2</v>
      </c>
    </row>
    <row r="26" spans="1:15" customFormat="1" ht="13.35" customHeight="1">
      <c r="A26" s="26"/>
      <c r="B26" s="27" t="s">
        <v>129</v>
      </c>
      <c r="C26" s="27"/>
      <c r="D26" s="62">
        <f>A2.4.1!D26/A2.4.1!D$38</f>
        <v>1.7822772848238918E-3</v>
      </c>
      <c r="E26" s="58">
        <f>A2.4.1!E26/A2.4.1!E$38</f>
        <v>2.2428133257091946E-3</v>
      </c>
      <c r="F26" s="58">
        <f>A2.4.1!F26/A2.4.1!F$38</f>
        <v>1.8318258919635636E-3</v>
      </c>
      <c r="G26" s="62">
        <f>A2.4.1!G26/A2.4.1!G$38</f>
        <v>1.782277284823892E-3</v>
      </c>
      <c r="H26" s="58">
        <f>A2.4.1!H26/A2.4.1!H$38</f>
        <v>2.2428133257091942E-3</v>
      </c>
      <c r="I26" s="58">
        <f>A2.4.1!I26/A2.4.1!I$38</f>
        <v>1.8318258919635632E-3</v>
      </c>
      <c r="J26" s="62">
        <f>A2.4.1!J26/A2.4.1!J$38</f>
        <v>1.8378618588115795E-3</v>
      </c>
      <c r="K26" s="58">
        <f>A2.4.1!K26/A2.4.1!K$38</f>
        <v>2.0941825362611123E-3</v>
      </c>
      <c r="L26" s="58">
        <f>A2.4.1!L26/A2.4.1!L$38</f>
        <v>1.5679426493637575E-3</v>
      </c>
      <c r="M26" s="62">
        <f>A2.4.1!M26/A2.4.1!M$38</f>
        <v>1.7822772848238915E-3</v>
      </c>
      <c r="N26" s="58">
        <f>A2.4.1!N26/A2.4.1!N$38</f>
        <v>2.2428133257091933E-3</v>
      </c>
      <c r="O26" s="59">
        <f>A2.4.1!O26/A2.4.1!O$38</f>
        <v>1.8318258919635627E-3</v>
      </c>
    </row>
    <row r="27" spans="1:15" customFormat="1" ht="13.35" customHeight="1">
      <c r="A27" s="26"/>
      <c r="B27" s="27" t="s">
        <v>130</v>
      </c>
      <c r="C27" s="27"/>
      <c r="D27" s="62">
        <f>A2.4.1!D27/A2.4.1!D$38</f>
        <v>0.13871537066503609</v>
      </c>
      <c r="E27" s="58">
        <f>A2.4.1!E27/A2.4.1!E$38</f>
        <v>7.6402106248840404E-2</v>
      </c>
      <c r="F27" s="58">
        <f>A2.4.1!F27/A2.4.1!F$38</f>
        <v>7.0379464578452122E-2</v>
      </c>
      <c r="G27" s="62">
        <f>A2.4.1!G27/A2.4.1!G$38</f>
        <v>0.13871537066503614</v>
      </c>
      <c r="H27" s="58">
        <f>A2.4.1!H27/A2.4.1!H$38</f>
        <v>7.640210624884039E-2</v>
      </c>
      <c r="I27" s="58">
        <f>A2.4.1!I27/A2.4.1!I$38</f>
        <v>7.0379464578452094E-2</v>
      </c>
      <c r="J27" s="62">
        <f>A2.4.1!J27/A2.4.1!J$38</f>
        <v>0.16482034027425088</v>
      </c>
      <c r="K27" s="58">
        <f>A2.4.1!K27/A2.4.1!K$38</f>
        <v>0.11781728798440846</v>
      </c>
      <c r="L27" s="58">
        <f>A2.4.1!L27/A2.4.1!L$38</f>
        <v>0.11315469237307804</v>
      </c>
      <c r="M27" s="62">
        <f>A2.4.1!M27/A2.4.1!M$38</f>
        <v>0.13871537066503609</v>
      </c>
      <c r="N27" s="58">
        <f>A2.4.1!N27/A2.4.1!N$38</f>
        <v>7.6402106248840362E-2</v>
      </c>
      <c r="O27" s="59">
        <f>A2.4.1!O27/A2.4.1!O$38</f>
        <v>7.0379464578452094E-2</v>
      </c>
    </row>
    <row r="28" spans="1:15" customFormat="1" ht="13.35" customHeight="1">
      <c r="A28" s="26"/>
      <c r="B28" s="27" t="s">
        <v>131</v>
      </c>
      <c r="C28" s="27"/>
      <c r="D28" s="62">
        <f>A2.4.1!D28/A2.4.1!D$38</f>
        <v>5.9061820354787832E-4</v>
      </c>
      <c r="E28" s="58">
        <f>A2.4.1!E28/A2.4.1!E$38</f>
        <v>9.4241997914724213E-4</v>
      </c>
      <c r="F28" s="58">
        <f>A2.4.1!F28/A2.4.1!F$38</f>
        <v>7.7399953127484534E-4</v>
      </c>
      <c r="G28" s="62">
        <f>A2.4.1!G28/A2.4.1!G$38</f>
        <v>5.9061820354787853E-4</v>
      </c>
      <c r="H28" s="58">
        <f>A2.4.1!H28/A2.4.1!H$38</f>
        <v>9.4241997914724181E-4</v>
      </c>
      <c r="I28" s="58">
        <f>A2.4.1!I28/A2.4.1!I$38</f>
        <v>7.7399953127484512E-4</v>
      </c>
      <c r="J28" s="62">
        <f>A2.4.1!J28/A2.4.1!J$38</f>
        <v>5.3326561706449976E-4</v>
      </c>
      <c r="K28" s="58">
        <f>A2.4.1!K28/A2.4.1!K$38</f>
        <v>9.1788860113592614E-4</v>
      </c>
      <c r="L28" s="58">
        <f>A2.4.1!L28/A2.4.1!L$38</f>
        <v>6.966957720484871E-4</v>
      </c>
      <c r="M28" s="62">
        <f>A2.4.1!M28/A2.4.1!M$38</f>
        <v>5.9061820354787832E-4</v>
      </c>
      <c r="N28" s="58">
        <f>A2.4.1!N28/A2.4.1!N$38</f>
        <v>9.4241997914724148E-4</v>
      </c>
      <c r="O28" s="59">
        <f>A2.4.1!O28/A2.4.1!O$38</f>
        <v>7.739995312748449E-4</v>
      </c>
    </row>
    <row r="29" spans="1:15" customFormat="1" ht="13.35" customHeight="1">
      <c r="A29" s="26"/>
      <c r="B29" s="27" t="s">
        <v>132</v>
      </c>
      <c r="C29" s="27"/>
      <c r="D29" s="62">
        <f>A2.4.1!D29/A2.4.1!D$38</f>
        <v>5.8401717656704905E-3</v>
      </c>
      <c r="E29" s="58">
        <f>A2.4.1!E29/A2.4.1!E$38</f>
        <v>6.0634833900564773E-3</v>
      </c>
      <c r="F29" s="58">
        <f>A2.4.1!F29/A2.4.1!F$38</f>
        <v>4.7151527829686034E-3</v>
      </c>
      <c r="G29" s="62">
        <f>A2.4.1!G29/A2.4.1!G$38</f>
        <v>5.8401717656704931E-3</v>
      </c>
      <c r="H29" s="58">
        <f>A2.4.1!H29/A2.4.1!H$38</f>
        <v>6.0634833900564747E-3</v>
      </c>
      <c r="I29" s="58">
        <f>A2.4.1!I29/A2.4.1!I$38</f>
        <v>4.7151527829686016E-3</v>
      </c>
      <c r="J29" s="62">
        <f>A2.4.1!J29/A2.4.1!J$38</f>
        <v>4.8089131538852211E-3</v>
      </c>
      <c r="K29" s="58">
        <f>A2.4.1!K29/A2.4.1!K$38</f>
        <v>5.611862081223753E-3</v>
      </c>
      <c r="L29" s="58">
        <f>A2.4.1!L29/A2.4.1!L$38</f>
        <v>4.3596711369424078E-3</v>
      </c>
      <c r="M29" s="62">
        <f>A2.4.1!M29/A2.4.1!M$38</f>
        <v>5.8401717656704905E-3</v>
      </c>
      <c r="N29" s="58">
        <f>A2.4.1!N29/A2.4.1!N$38</f>
        <v>6.0634833900564747E-3</v>
      </c>
      <c r="O29" s="59">
        <f>A2.4.1!O29/A2.4.1!O$38</f>
        <v>4.7151527829686016E-3</v>
      </c>
    </row>
    <row r="30" spans="1:15" customFormat="1" ht="13.35" customHeight="1">
      <c r="A30" s="26"/>
      <c r="B30" s="27" t="s">
        <v>138</v>
      </c>
      <c r="C30" s="27"/>
      <c r="D30" s="62">
        <f>A2.4.1!D30/A2.4.1!D$38</f>
        <v>7.6432943988548954E-3</v>
      </c>
      <c r="E30" s="58">
        <f>A2.4.1!E30/A2.4.1!E$38</f>
        <v>4.3651726984612798E-3</v>
      </c>
      <c r="F30" s="58">
        <f>A2.4.1!F30/A2.4.1!F$38</f>
        <v>2.9528430941672796E-3</v>
      </c>
      <c r="G30" s="62">
        <f>A2.4.1!G30/A2.4.1!G$38</f>
        <v>7.643294398854898E-3</v>
      </c>
      <c r="H30" s="58">
        <f>A2.4.1!H30/A2.4.1!H$38</f>
        <v>4.3651726984612789E-3</v>
      </c>
      <c r="I30" s="58">
        <f>A2.4.1!I30/A2.4.1!I$38</f>
        <v>2.9528430941672787E-3</v>
      </c>
      <c r="J30" s="62">
        <f>A2.4.1!J30/A2.4.1!J$38</f>
        <v>8.2814880650076174E-3</v>
      </c>
      <c r="K30" s="58">
        <f>A2.4.1!K30/A2.4.1!K$38</f>
        <v>4.5697938514270712E-3</v>
      </c>
      <c r="L30" s="58">
        <f>A2.4.1!L30/A2.4.1!L$38</f>
        <v>3.0444034355063543E-3</v>
      </c>
      <c r="M30" s="62">
        <f>A2.4.1!M30/A2.4.1!M$38</f>
        <v>7.6432943988548954E-3</v>
      </c>
      <c r="N30" s="58">
        <f>A2.4.1!N30/A2.4.1!N$38</f>
        <v>4.3651726984612763E-3</v>
      </c>
      <c r="O30" s="59">
        <f>A2.4.1!O30/A2.4.1!O$38</f>
        <v>2.9528430941672783E-3</v>
      </c>
    </row>
    <row r="31" spans="1:15" customFormat="1" ht="13.35" customHeight="1">
      <c r="A31" s="26"/>
      <c r="B31" s="27" t="s">
        <v>8</v>
      </c>
      <c r="C31" s="27"/>
      <c r="D31" s="62">
        <f>A2.4.1!D31/A2.4.1!D$38</f>
        <v>1.2541951263575534E-3</v>
      </c>
      <c r="E31" s="58">
        <f>A2.4.1!E31/A2.4.1!E$38</f>
        <v>1.0233586170220507E-3</v>
      </c>
      <c r="F31" s="58">
        <f>A2.4.1!F31/A2.4.1!F$38</f>
        <v>7.6989416978051346E-4</v>
      </c>
      <c r="G31" s="62">
        <f>A2.4.1!G31/A2.4.1!G$38</f>
        <v>1.2541951263575538E-3</v>
      </c>
      <c r="H31" s="58">
        <f>A2.4.1!H31/A2.4.1!H$38</f>
        <v>1.0233586170220505E-3</v>
      </c>
      <c r="I31" s="58">
        <f>A2.4.1!I31/A2.4.1!I$38</f>
        <v>7.6989416978051324E-4</v>
      </c>
      <c r="J31" s="62">
        <f>A2.4.1!J31/A2.4.1!J$38</f>
        <v>1.2601574403250382E-3</v>
      </c>
      <c r="K31" s="58">
        <f>A2.4.1!K31/A2.4.1!K$38</f>
        <v>1.2939925545992039E-3</v>
      </c>
      <c r="L31" s="58">
        <f>A2.4.1!L31/A2.4.1!L$38</f>
        <v>9.4877207560622849E-4</v>
      </c>
      <c r="M31" s="62">
        <f>A2.4.1!M31/A2.4.1!M$38</f>
        <v>1.2541951263575534E-3</v>
      </c>
      <c r="N31" s="58">
        <f>A2.4.1!N31/A2.4.1!N$38</f>
        <v>1.0233586170220502E-3</v>
      </c>
      <c r="O31" s="59">
        <f>A2.4.1!O31/A2.4.1!O$38</f>
        <v>7.6989416978051313E-4</v>
      </c>
    </row>
    <row r="32" spans="1:15" customFormat="1" ht="13.35" customHeight="1">
      <c r="A32" s="26"/>
      <c r="B32" s="27" t="s">
        <v>133</v>
      </c>
      <c r="C32" s="27"/>
      <c r="D32" s="62">
        <f>A2.4.1!D32/A2.4.1!D$38</f>
        <v>1.6224629473932891E-3</v>
      </c>
      <c r="E32" s="58">
        <f>A2.4.1!E32/A2.4.1!E$38</f>
        <v>-6.0880668868851424E-4</v>
      </c>
      <c r="F32" s="58">
        <f>A2.4.1!F32/A2.4.1!F$38</f>
        <v>1.716159290560157E-4</v>
      </c>
      <c r="G32" s="62">
        <f>A2.4.1!G32/A2.4.1!G$38</f>
        <v>1.6224629473932898E-3</v>
      </c>
      <c r="H32" s="58">
        <f>A2.4.1!H32/A2.4.1!H$38</f>
        <v>-6.0880668868851413E-4</v>
      </c>
      <c r="I32" s="58">
        <f>A2.4.1!I32/A2.4.1!I$38</f>
        <v>1.7161592905601568E-4</v>
      </c>
      <c r="J32" s="62">
        <f>A2.4.1!J32/A2.4.1!J$38</f>
        <v>2.0568816658202132E-3</v>
      </c>
      <c r="K32" s="58">
        <f>A2.4.1!K32/A2.4.1!K$38</f>
        <v>-8.8293698979053411E-4</v>
      </c>
      <c r="L32" s="58">
        <f>A2.4.1!L32/A2.4.1!L$38</f>
        <v>1.61549148947956E-4</v>
      </c>
      <c r="M32" s="62">
        <f>A2.4.1!M32/A2.4.1!M$38</f>
        <v>1.6224629473932891E-3</v>
      </c>
      <c r="N32" s="58">
        <f>A2.4.1!N32/A2.4.1!N$38</f>
        <v>-6.0880668868851392E-4</v>
      </c>
      <c r="O32" s="59">
        <f>A2.4.1!O32/A2.4.1!O$38</f>
        <v>1.7161592905601562E-4</v>
      </c>
    </row>
    <row r="33" spans="1:15" customFormat="1" ht="13.35" customHeight="1">
      <c r="A33" s="26"/>
      <c r="B33" s="27" t="s">
        <v>134</v>
      </c>
      <c r="C33" s="27"/>
      <c r="D33" s="62">
        <f>A2.4.1!D33/A2.4.1!D$38</f>
        <v>4.6957621406783077E-2</v>
      </c>
      <c r="E33" s="58">
        <f>A2.4.1!E33/A2.4.1!E$38</f>
        <v>2.6547960793140334E-2</v>
      </c>
      <c r="F33" s="58">
        <f>A2.4.1!F33/A2.4.1!F$38</f>
        <v>2.5202621603232753E-2</v>
      </c>
      <c r="G33" s="62">
        <f>A2.4.1!G33/A2.4.1!G$38</f>
        <v>4.6957621406783091E-2</v>
      </c>
      <c r="H33" s="58">
        <f>A2.4.1!H33/A2.4.1!H$38</f>
        <v>2.654796079314033E-2</v>
      </c>
      <c r="I33" s="58">
        <f>A2.4.1!I33/A2.4.1!I$38</f>
        <v>2.5202621603232746E-2</v>
      </c>
      <c r="J33" s="62">
        <f>A2.4.1!J33/A2.4.1!J$38</f>
        <v>4.9860335195530729E-2</v>
      </c>
      <c r="K33" s="58">
        <f>A2.4.1!K33/A2.4.1!K$38</f>
        <v>2.3141995766447942E-2</v>
      </c>
      <c r="L33" s="58">
        <f>A2.4.1!L33/A2.4.1!L$38</f>
        <v>2.2721469253193197E-2</v>
      </c>
      <c r="M33" s="62">
        <f>A2.4.1!M33/A2.4.1!M$38</f>
        <v>4.6957621406783077E-2</v>
      </c>
      <c r="N33" s="58">
        <f>A2.4.1!N33/A2.4.1!N$38</f>
        <v>2.654796079314032E-2</v>
      </c>
      <c r="O33" s="59">
        <f>A2.4.1!O33/A2.4.1!O$38</f>
        <v>2.5202621603232743E-2</v>
      </c>
    </row>
    <row r="34" spans="1:15" customFormat="1" ht="13.35" customHeight="1">
      <c r="A34" s="26"/>
      <c r="B34" s="27" t="s">
        <v>147</v>
      </c>
      <c r="C34" s="27"/>
      <c r="D34" s="62">
        <f>A2.4.1!D34/A2.4.1!D$38</f>
        <v>7.9976653209836226E-3</v>
      </c>
      <c r="E34" s="58">
        <f>A2.4.1!E34/A2.4.1!E$38</f>
        <v>7.4958542012171061E-3</v>
      </c>
      <c r="F34" s="58">
        <f>A2.4.1!F34/A2.4.1!F$38</f>
        <v>6.1622669961322431E-3</v>
      </c>
      <c r="G34" s="62">
        <f>A2.4.1!G34/A2.4.1!G$38</f>
        <v>7.9976653209836261E-3</v>
      </c>
      <c r="H34" s="58">
        <f>A2.4.1!H34/A2.4.1!H$38</f>
        <v>7.4958542012171052E-3</v>
      </c>
      <c r="I34" s="58">
        <f>A2.4.1!I34/A2.4.1!I$38</f>
        <v>6.1622669961322414E-3</v>
      </c>
      <c r="J34" s="62">
        <f>A2.4.1!J34/A2.4.1!J$38</f>
        <v>8.1291264601320475E-3</v>
      </c>
      <c r="K34" s="58">
        <f>A2.4.1!K34/A2.4.1!K$38</f>
        <v>6.6996577012177604E-3</v>
      </c>
      <c r="L34" s="58">
        <f>A2.4.1!L34/A2.4.1!L$38</f>
        <v>5.364439032565861E-3</v>
      </c>
      <c r="M34" s="62">
        <f>A2.4.1!M34/A2.4.1!M$38</f>
        <v>7.9976653209836226E-3</v>
      </c>
      <c r="N34" s="58">
        <f>A2.4.1!N34/A2.4.1!N$38</f>
        <v>7.4958542012171026E-3</v>
      </c>
      <c r="O34" s="59">
        <f>A2.4.1!O34/A2.4.1!O$38</f>
        <v>6.1622669961322405E-3</v>
      </c>
    </row>
    <row r="35" spans="1:15" customFormat="1" ht="13.35" customHeight="1">
      <c r="A35" s="26"/>
      <c r="B35" s="27" t="s">
        <v>135</v>
      </c>
      <c r="C35" s="27"/>
      <c r="D35" s="62">
        <f>A2.4.1!D35/A2.4.1!D$38</f>
        <v>1.893799898552638E-2</v>
      </c>
      <c r="E35" s="58">
        <f>A2.4.1!E35/A2.4.1!E$38</f>
        <v>2.3952165042295241E-2</v>
      </c>
      <c r="F35" s="58">
        <f>A2.4.1!F35/A2.4.1!F$38</f>
        <v>2.0341434289962986E-2</v>
      </c>
      <c r="G35" s="62">
        <f>A2.4.1!G35/A2.4.1!G$38</f>
        <v>1.8937998985526387E-2</v>
      </c>
      <c r="H35" s="58">
        <f>A2.4.1!H35/A2.4.1!H$38</f>
        <v>2.3952165042295238E-2</v>
      </c>
      <c r="I35" s="58">
        <f>A2.4.1!I35/A2.4.1!I$38</f>
        <v>2.0341434289962983E-2</v>
      </c>
      <c r="J35" s="62">
        <f>A2.4.1!J35/A2.4.1!J$38</f>
        <v>1.7956449974606398E-2</v>
      </c>
      <c r="K35" s="58">
        <f>A2.4.1!K35/A2.4.1!K$38</f>
        <v>3.6709347278839864E-2</v>
      </c>
      <c r="L35" s="58">
        <f>A2.4.1!L35/A2.4.1!L$38</f>
        <v>3.4548058451590882E-2</v>
      </c>
      <c r="M35" s="62">
        <f>A2.4.1!M35/A2.4.1!M$38</f>
        <v>1.893799898552638E-2</v>
      </c>
      <c r="N35" s="58">
        <f>A2.4.1!N35/A2.4.1!N$38</f>
        <v>2.3952165042295231E-2</v>
      </c>
      <c r="O35" s="59">
        <f>A2.4.1!O35/A2.4.1!O$38</f>
        <v>2.0341434289962979E-2</v>
      </c>
    </row>
    <row r="36" spans="1:15" customFormat="1" ht="13.35" customHeight="1">
      <c r="A36" s="26"/>
      <c r="B36" s="27" t="s">
        <v>148</v>
      </c>
      <c r="C36" s="27"/>
      <c r="D36" s="62">
        <f>A2.4.1!D36/A2.4.1!D$38</f>
        <v>3.1719671755247817E-3</v>
      </c>
      <c r="E36" s="58">
        <f>A2.4.1!E36/A2.4.1!E$38</f>
        <v>2.0854220253737118E-3</v>
      </c>
      <c r="F36" s="58">
        <f>A2.4.1!F36/A2.4.1!F$38</f>
        <v>1.6514080688294691E-3</v>
      </c>
      <c r="G36" s="62">
        <f>A2.4.1!G36/A2.4.1!G$38</f>
        <v>3.171967175524783E-3</v>
      </c>
      <c r="H36" s="58">
        <f>A2.4.1!H36/A2.4.1!H$38</f>
        <v>2.0854220253737113E-3</v>
      </c>
      <c r="I36" s="58">
        <f>A2.4.1!I36/A2.4.1!I$38</f>
        <v>1.6514080688294686E-3</v>
      </c>
      <c r="J36" s="62">
        <f>A2.4.1!J36/A2.4.1!J$38</f>
        <v>3.1646775012696801E-3</v>
      </c>
      <c r="K36" s="58">
        <f>A2.4.1!K36/A2.4.1!K$38</f>
        <v>1.7028120491756735E-3</v>
      </c>
      <c r="L36" s="58">
        <f>A2.4.1!L36/A2.4.1!L$38</f>
        <v>1.5190717506822847E-3</v>
      </c>
      <c r="M36" s="62">
        <f>A2.4.1!M36/A2.4.1!M$38</f>
        <v>3.1719671755247817E-3</v>
      </c>
      <c r="N36" s="58">
        <f>A2.4.1!N36/A2.4.1!N$38</f>
        <v>2.0854220253737105E-3</v>
      </c>
      <c r="O36" s="59">
        <f>A2.4.1!O36/A2.4.1!O$38</f>
        <v>1.6514080688294684E-3</v>
      </c>
    </row>
    <row r="37" spans="1:15" customFormat="1" ht="13.35" customHeight="1">
      <c r="A37" s="88"/>
      <c r="B37" s="75" t="s">
        <v>9</v>
      </c>
      <c r="C37" s="89"/>
      <c r="D37" s="63">
        <f>A2.4.1!D38/A2.4.1!D$38</f>
        <v>1</v>
      </c>
      <c r="E37" s="60">
        <f>A2.4.1!E38/A2.4.1!E$38</f>
        <v>1</v>
      </c>
      <c r="F37" s="60">
        <f>A2.4.1!F38/A2.4.1!F$38</f>
        <v>1</v>
      </c>
      <c r="G37" s="63">
        <f>A2.4.1!G38/A2.4.1!G$38</f>
        <v>1</v>
      </c>
      <c r="H37" s="60">
        <f>A2.4.1!H38/A2.4.1!H$38</f>
        <v>1</v>
      </c>
      <c r="I37" s="60">
        <f>A2.4.1!I38/A2.4.1!I$38</f>
        <v>1</v>
      </c>
      <c r="J37" s="63">
        <f>A2.4.1!J38/A2.4.1!J$38</f>
        <v>1</v>
      </c>
      <c r="K37" s="60">
        <f>A2.4.1!K38/A2.4.1!K$38</f>
        <v>1</v>
      </c>
      <c r="L37" s="60">
        <f>A2.4.1!L38/A2.4.1!L$38</f>
        <v>1</v>
      </c>
      <c r="M37" s="63">
        <f>A2.4.1!M38/A2.4.1!M$38</f>
        <v>1</v>
      </c>
      <c r="N37" s="60">
        <f>A2.4.1!N38/A2.4.1!N$38</f>
        <v>1</v>
      </c>
      <c r="O37" s="61">
        <f>A2.4.1!O38/A2.4.1!O$38</f>
        <v>1</v>
      </c>
    </row>
    <row r="38" spans="1:15" customFormat="1" ht="13.35" customHeight="1">
      <c r="H38" s="1"/>
    </row>
    <row r="39" spans="1:15" customFormat="1" ht="13.35" customHeight="1">
      <c r="H39" s="560" t="s">
        <v>506</v>
      </c>
    </row>
  </sheetData>
  <mergeCells count="1">
    <mergeCell ref="B3:C3"/>
  </mergeCells>
  <phoneticPr fontId="7" type="noConversion"/>
  <hyperlinks>
    <hyperlink ref="H39" location="CONTENTS!A1" display="BACK TO CONTENTS"/>
  </hyperlinks>
  <pageMargins left="0.98425196850393704" right="0.98425196850393704" top="0.98425196850393704" bottom="0.98425196850393704" header="0.51181102362204722" footer="0.51181102362204722"/>
  <pageSetup paperSize="9" scale="77" orientation="landscape" r:id="rId1"/>
  <headerFooter alignWithMargins="0"/>
</worksheet>
</file>

<file path=xl/worksheets/sheet32.xml><?xml version="1.0" encoding="utf-8"?>
<worksheet xmlns="http://schemas.openxmlformats.org/spreadsheetml/2006/main" xmlns:r="http://schemas.openxmlformats.org/officeDocument/2006/relationships">
  <sheetPr codeName="Sheet41" enableFormatConditionsCalculation="0">
    <pageSetUpPr fitToPage="1"/>
  </sheetPr>
  <dimension ref="A1:K66"/>
  <sheetViews>
    <sheetView showGridLines="0" zoomScaleNormal="100" zoomScaleSheetLayoutView="90" workbookViewId="0"/>
  </sheetViews>
  <sheetFormatPr defaultColWidth="9.140625" defaultRowHeight="12.75"/>
  <cols>
    <col min="1" max="1" width="0.85546875" customWidth="1"/>
    <col min="2" max="2" width="6.85546875" style="2" customWidth="1"/>
    <col min="3" max="3" width="30.7109375" style="2" customWidth="1"/>
    <col min="4" max="4" width="10.7109375" style="2" customWidth="1"/>
    <col min="5" max="5" width="10.7109375" style="13" customWidth="1"/>
    <col min="6" max="6" width="10.7109375" style="14" customWidth="1"/>
    <col min="7" max="11" width="10.7109375" style="6" customWidth="1"/>
    <col min="12" max="16384" width="9.140625" style="10"/>
  </cols>
  <sheetData>
    <row r="1" spans="1:11" s="8" customFormat="1" ht="15" customHeight="1">
      <c r="A1" s="455" t="s">
        <v>434</v>
      </c>
      <c r="B1" s="455"/>
      <c r="C1" s="455"/>
      <c r="D1" s="564"/>
      <c r="E1" s="569"/>
      <c r="F1" s="565"/>
      <c r="G1" s="4"/>
      <c r="H1" s="4"/>
      <c r="I1" s="4"/>
      <c r="J1" s="4"/>
      <c r="K1" s="4"/>
    </row>
    <row r="2" spans="1:11" s="8" customFormat="1" ht="15" customHeight="1">
      <c r="A2" s="90"/>
      <c r="B2" s="91" t="s">
        <v>183</v>
      </c>
      <c r="C2" s="92"/>
      <c r="D2" s="84" t="s">
        <v>467</v>
      </c>
      <c r="E2" s="67"/>
      <c r="F2" s="65" t="s">
        <v>468</v>
      </c>
      <c r="G2" s="67"/>
      <c r="H2" s="65" t="s">
        <v>469</v>
      </c>
      <c r="I2" s="67"/>
      <c r="J2" s="708" t="s">
        <v>470</v>
      </c>
      <c r="K2" s="709"/>
    </row>
    <row r="3" spans="1:11" ht="22.5">
      <c r="A3" s="203"/>
      <c r="B3" s="204" t="s">
        <v>179</v>
      </c>
      <c r="C3" s="205"/>
      <c r="D3" s="32" t="s">
        <v>18</v>
      </c>
      <c r="E3" s="134" t="s">
        <v>110</v>
      </c>
      <c r="F3" s="32" t="s">
        <v>18</v>
      </c>
      <c r="G3" s="134" t="s">
        <v>110</v>
      </c>
      <c r="H3" s="32" t="s">
        <v>18</v>
      </c>
      <c r="I3" s="134" t="s">
        <v>110</v>
      </c>
      <c r="J3" s="33" t="s">
        <v>18</v>
      </c>
      <c r="K3" s="86" t="s">
        <v>110</v>
      </c>
    </row>
    <row r="4" spans="1:11" ht="13.35" customHeight="1">
      <c r="A4" s="49"/>
      <c r="B4" s="116">
        <v>3701</v>
      </c>
      <c r="C4" s="16" t="s">
        <v>71</v>
      </c>
      <c r="D4" s="19">
        <v>626650</v>
      </c>
      <c r="E4" s="139">
        <v>32133.885602999999</v>
      </c>
      <c r="F4" s="19">
        <v>628079</v>
      </c>
      <c r="G4" s="139">
        <v>34253.265679999997</v>
      </c>
      <c r="H4" s="19">
        <v>574113</v>
      </c>
      <c r="I4" s="139">
        <v>32430.984123999999</v>
      </c>
      <c r="J4" s="19">
        <v>458163</v>
      </c>
      <c r="K4" s="141">
        <v>26658.272053000001</v>
      </c>
    </row>
    <row r="5" spans="1:11" ht="13.35" customHeight="1">
      <c r="A5" s="49"/>
      <c r="B5" s="116">
        <v>3702</v>
      </c>
      <c r="C5" s="16" t="s">
        <v>136</v>
      </c>
      <c r="D5" s="19">
        <v>134708</v>
      </c>
      <c r="E5" s="139">
        <v>2006.2423470000001</v>
      </c>
      <c r="F5" s="19">
        <v>152705</v>
      </c>
      <c r="G5" s="139">
        <v>2661.2741129999999</v>
      </c>
      <c r="H5" s="19">
        <v>152871</v>
      </c>
      <c r="I5" s="139">
        <v>2740.5973560000002</v>
      </c>
      <c r="J5" s="19">
        <v>153734</v>
      </c>
      <c r="K5" s="24">
        <v>2989.3369539999999</v>
      </c>
    </row>
    <row r="6" spans="1:11" ht="13.35" customHeight="1">
      <c r="A6" s="49"/>
      <c r="B6" s="116">
        <v>3704</v>
      </c>
      <c r="C6" s="16" t="s">
        <v>189</v>
      </c>
      <c r="D6" s="19">
        <v>48730</v>
      </c>
      <c r="E6" s="139">
        <v>237.70620099999999</v>
      </c>
      <c r="F6" s="19">
        <v>52603</v>
      </c>
      <c r="G6" s="139">
        <v>256.78180099999997</v>
      </c>
      <c r="H6" s="19">
        <v>46789</v>
      </c>
      <c r="I6" s="139">
        <v>246.95304100000001</v>
      </c>
      <c r="J6" s="19">
        <v>45225</v>
      </c>
      <c r="K6" s="24">
        <v>239.18795900000001</v>
      </c>
    </row>
    <row r="7" spans="1:11" ht="13.35" customHeight="1">
      <c r="A7" s="49"/>
      <c r="B7" s="116">
        <v>3706</v>
      </c>
      <c r="C7" s="16" t="s">
        <v>72</v>
      </c>
      <c r="D7" s="19">
        <v>2543</v>
      </c>
      <c r="E7" s="139">
        <v>9.0963370000000001</v>
      </c>
      <c r="F7" s="19">
        <v>2064</v>
      </c>
      <c r="G7" s="139">
        <v>6.7747799999999998</v>
      </c>
      <c r="H7" s="19">
        <v>44</v>
      </c>
      <c r="I7" s="139">
        <v>0.16533600000000001</v>
      </c>
      <c r="J7" s="19">
        <v>24</v>
      </c>
      <c r="K7" s="24">
        <v>0.24995999999999999</v>
      </c>
    </row>
    <row r="8" spans="1:11" ht="13.35" customHeight="1">
      <c r="A8" s="49"/>
      <c r="B8" s="116">
        <v>3707</v>
      </c>
      <c r="C8" s="16" t="s">
        <v>185</v>
      </c>
      <c r="D8" s="19">
        <v>60358</v>
      </c>
      <c r="E8" s="139">
        <v>11231.091234</v>
      </c>
      <c r="F8" s="19">
        <v>33985</v>
      </c>
      <c r="G8" s="139">
        <v>6113.2588589999996</v>
      </c>
      <c r="H8" s="19">
        <v>37035</v>
      </c>
      <c r="I8" s="139">
        <v>6024.1983069999997</v>
      </c>
      <c r="J8" s="19">
        <v>35951</v>
      </c>
      <c r="K8" s="24">
        <v>6080.374546</v>
      </c>
    </row>
    <row r="9" spans="1:11" ht="13.35" customHeight="1">
      <c r="A9" s="49"/>
      <c r="B9" s="116">
        <v>3708</v>
      </c>
      <c r="C9" s="16" t="s">
        <v>73</v>
      </c>
      <c r="D9" s="19">
        <v>5105</v>
      </c>
      <c r="E9" s="139">
        <v>281.54914000000002</v>
      </c>
      <c r="F9" s="19">
        <v>5046</v>
      </c>
      <c r="G9" s="139">
        <v>368.69590699999998</v>
      </c>
      <c r="H9" s="19">
        <v>4951</v>
      </c>
      <c r="I9" s="139">
        <v>326.32415600000002</v>
      </c>
      <c r="J9" s="19">
        <v>4071</v>
      </c>
      <c r="K9" s="24">
        <v>336.28301800000003</v>
      </c>
    </row>
    <row r="10" spans="1:11" s="51" customFormat="1" ht="13.35" customHeight="1">
      <c r="A10" s="49"/>
      <c r="B10" s="116">
        <v>3710</v>
      </c>
      <c r="C10" s="16" t="s">
        <v>74</v>
      </c>
      <c r="D10" s="19">
        <v>5651</v>
      </c>
      <c r="E10" s="139">
        <v>12.994436</v>
      </c>
      <c r="F10" s="19">
        <v>5749</v>
      </c>
      <c r="G10" s="139">
        <v>14.800884999999999</v>
      </c>
      <c r="H10" s="19">
        <v>74</v>
      </c>
      <c r="I10" s="139">
        <v>1.3801829999999999</v>
      </c>
      <c r="J10" s="19">
        <v>59</v>
      </c>
      <c r="K10" s="24">
        <v>0.86422200000000005</v>
      </c>
    </row>
    <row r="11" spans="1:11" s="1" customFormat="1" ht="13.35" customHeight="1">
      <c r="A11" s="26"/>
      <c r="B11" s="116">
        <v>3711</v>
      </c>
      <c r="C11" s="16" t="s">
        <v>75</v>
      </c>
      <c r="D11" s="19">
        <v>15052</v>
      </c>
      <c r="E11" s="139">
        <v>80.105153000000001</v>
      </c>
      <c r="F11" s="19">
        <v>15437</v>
      </c>
      <c r="G11" s="139">
        <v>84.292000000000002</v>
      </c>
      <c r="H11" s="19">
        <v>92</v>
      </c>
      <c r="I11" s="139">
        <v>0.55873799999999996</v>
      </c>
      <c r="J11" s="19">
        <v>23</v>
      </c>
      <c r="K11" s="24">
        <v>0.175649</v>
      </c>
    </row>
    <row r="12" spans="1:11" s="1" customFormat="1" ht="13.35" customHeight="1">
      <c r="A12" s="26"/>
      <c r="B12" s="116">
        <v>3712</v>
      </c>
      <c r="C12" s="16" t="s">
        <v>114</v>
      </c>
      <c r="D12" s="19">
        <v>131678</v>
      </c>
      <c r="E12" s="139">
        <v>574.60850800000003</v>
      </c>
      <c r="F12" s="19">
        <v>163940</v>
      </c>
      <c r="G12" s="139">
        <v>702.81772100000001</v>
      </c>
      <c r="H12" s="19">
        <v>946</v>
      </c>
      <c r="I12" s="139">
        <v>6.1171340000000001</v>
      </c>
      <c r="J12" s="19">
        <v>222</v>
      </c>
      <c r="K12" s="24">
        <v>1.768445</v>
      </c>
    </row>
    <row r="13" spans="1:11" s="1" customFormat="1" ht="13.35" customHeight="1">
      <c r="A13" s="26"/>
      <c r="B13" s="135">
        <v>3713</v>
      </c>
      <c r="C13" s="246" t="s">
        <v>404</v>
      </c>
      <c r="D13" s="19">
        <v>1325960</v>
      </c>
      <c r="E13" s="139">
        <v>17925.613164999999</v>
      </c>
      <c r="F13" s="19">
        <v>1492932</v>
      </c>
      <c r="G13" s="139">
        <v>23420.546997000001</v>
      </c>
      <c r="H13" s="19">
        <v>1733773</v>
      </c>
      <c r="I13" s="139">
        <v>28564.823106</v>
      </c>
      <c r="J13" s="19">
        <v>1809142</v>
      </c>
      <c r="K13" s="24">
        <v>32644.963116999999</v>
      </c>
    </row>
    <row r="14" spans="1:11" s="1" customFormat="1" ht="13.35" customHeight="1">
      <c r="A14" s="26"/>
      <c r="B14" s="135"/>
      <c r="C14" s="246" t="s">
        <v>405</v>
      </c>
      <c r="D14" s="19">
        <f t="shared" ref="D14:K14" si="0">D47</f>
        <v>5300</v>
      </c>
      <c r="E14" s="139">
        <f t="shared" si="0"/>
        <v>530.89431999999999</v>
      </c>
      <c r="F14" s="19">
        <f t="shared" si="0"/>
        <v>13656</v>
      </c>
      <c r="G14" s="139">
        <f t="shared" si="0"/>
        <v>712.92210999999998</v>
      </c>
      <c r="H14" s="19">
        <f t="shared" si="0"/>
        <v>12869</v>
      </c>
      <c r="I14" s="139">
        <f t="shared" si="0"/>
        <v>919.23917100000006</v>
      </c>
      <c r="J14" s="19">
        <f t="shared" si="0"/>
        <v>16664</v>
      </c>
      <c r="K14" s="24">
        <f t="shared" si="0"/>
        <v>1451.9945440000001</v>
      </c>
    </row>
    <row r="15" spans="1:11" s="1" customFormat="1" ht="13.35" customHeight="1">
      <c r="A15" s="26"/>
      <c r="B15" s="135"/>
      <c r="C15" s="246" t="s">
        <v>406</v>
      </c>
      <c r="D15" s="19">
        <f t="shared" ref="D15:K15" si="1">D52</f>
        <v>806</v>
      </c>
      <c r="E15" s="139">
        <f t="shared" si="1"/>
        <v>81.76063400000001</v>
      </c>
      <c r="F15" s="19">
        <f t="shared" si="1"/>
        <v>1099</v>
      </c>
      <c r="G15" s="139">
        <f t="shared" si="1"/>
        <v>141.95074399999999</v>
      </c>
      <c r="H15" s="19">
        <f t="shared" si="1"/>
        <v>1453</v>
      </c>
      <c r="I15" s="139">
        <f t="shared" si="1"/>
        <v>232.11411999999996</v>
      </c>
      <c r="J15" s="19">
        <f t="shared" si="1"/>
        <v>1618</v>
      </c>
      <c r="K15" s="24">
        <f t="shared" si="1"/>
        <v>186.03147500000003</v>
      </c>
    </row>
    <row r="16" spans="1:11" s="1" customFormat="1" ht="13.35" customHeight="1">
      <c r="A16" s="103"/>
      <c r="B16" s="104" t="s">
        <v>9</v>
      </c>
      <c r="C16" s="105"/>
      <c r="D16" s="202"/>
      <c r="E16" s="140">
        <f>SUM(E4:E15)</f>
        <v>65105.547078000003</v>
      </c>
      <c r="F16" s="202"/>
      <c r="G16" s="140">
        <f>SUM(G4:G15)</f>
        <v>68737.381597</v>
      </c>
      <c r="H16" s="202"/>
      <c r="I16" s="140">
        <f>SUM(I4:I15)</f>
        <v>71493.454771999997</v>
      </c>
      <c r="J16" s="202"/>
      <c r="K16" s="113">
        <f>SUM(K4:K15)</f>
        <v>70589.501941999988</v>
      </c>
    </row>
    <row r="17" spans="1:11" s="1" customFormat="1" ht="13.35" customHeight="1">
      <c r="A17" s="49"/>
      <c r="B17" s="571">
        <v>3713</v>
      </c>
      <c r="C17" s="294" t="s">
        <v>411</v>
      </c>
      <c r="D17" s="202"/>
      <c r="E17" s="15">
        <f t="shared" ref="E17:I17" si="2">E13+E7+E10+E11+E12</f>
        <v>18602.417599</v>
      </c>
      <c r="F17" s="202"/>
      <c r="G17" s="15">
        <f t="shared" si="2"/>
        <v>24229.232383000002</v>
      </c>
      <c r="H17" s="19">
        <f t="shared" si="2"/>
        <v>1734929</v>
      </c>
      <c r="I17" s="15">
        <f t="shared" si="2"/>
        <v>28573.044496999999</v>
      </c>
      <c r="J17" s="19">
        <f>J13+J7+J10+J11+J12</f>
        <v>1809470</v>
      </c>
      <c r="K17" s="24">
        <f t="shared" ref="K17" si="3">K13+K7+K10+K11+K12</f>
        <v>32648.021393000003</v>
      </c>
    </row>
    <row r="18" spans="1:11" customFormat="1" ht="13.35" customHeight="1">
      <c r="A18" s="100"/>
      <c r="B18" s="101" t="s">
        <v>92</v>
      </c>
      <c r="C18" s="102"/>
      <c r="D18" s="108"/>
      <c r="E18" s="137"/>
      <c r="F18" s="109"/>
      <c r="G18" s="137"/>
      <c r="H18" s="109"/>
      <c r="I18" s="109"/>
      <c r="J18" s="108"/>
      <c r="K18" s="110"/>
    </row>
    <row r="19" spans="1:11" customFormat="1" ht="13.35" customHeight="1">
      <c r="A19" s="49"/>
      <c r="B19" s="116">
        <v>3701</v>
      </c>
      <c r="C19" s="16" t="s">
        <v>71</v>
      </c>
      <c r="D19" s="62"/>
      <c r="E19" s="138">
        <f>A2.5.1!E4/A2.5.1!E$16</f>
        <v>0.49356601772352587</v>
      </c>
      <c r="F19" s="62"/>
      <c r="G19" s="138">
        <f>A2.5.1!G4/A2.5.1!G$16</f>
        <v>0.49832078098091181</v>
      </c>
      <c r="H19" s="62"/>
      <c r="I19" s="138">
        <f>A2.5.1!I4/A2.5.1!I$16</f>
        <v>0.45362172281960289</v>
      </c>
      <c r="J19" s="58"/>
      <c r="K19" s="59">
        <f>A2.5.1!K4/A2.5.1!K$16</f>
        <v>0.37765207742794143</v>
      </c>
    </row>
    <row r="20" spans="1:11" customFormat="1" ht="13.35" customHeight="1">
      <c r="A20" s="49"/>
      <c r="B20" s="116">
        <v>3702</v>
      </c>
      <c r="C20" s="16" t="s">
        <v>136</v>
      </c>
      <c r="D20" s="62"/>
      <c r="E20" s="138">
        <f>A2.5.1!E5/A2.5.1!E$16</f>
        <v>3.0815229070979347E-2</v>
      </c>
      <c r="F20" s="62"/>
      <c r="G20" s="138">
        <f>A2.5.1!G5/A2.5.1!G$16</f>
        <v>3.8716547694568421E-2</v>
      </c>
      <c r="H20" s="62"/>
      <c r="I20" s="138">
        <f>A2.5.1!I5/A2.5.1!I$16</f>
        <v>3.8333542066753497E-2</v>
      </c>
      <c r="J20" s="58"/>
      <c r="K20" s="59">
        <f>A2.5.1!K5/A2.5.1!K$16</f>
        <v>4.2348180278367668E-2</v>
      </c>
    </row>
    <row r="21" spans="1:11" s="21" customFormat="1" ht="13.35" customHeight="1">
      <c r="A21" s="49"/>
      <c r="B21" s="116">
        <v>3704</v>
      </c>
      <c r="C21" s="16" t="s">
        <v>189</v>
      </c>
      <c r="D21" s="62"/>
      <c r="E21" s="138">
        <f>A2.5.1!E6/A2.5.1!E$16</f>
        <v>3.6510898328711528E-3</v>
      </c>
      <c r="F21" s="62"/>
      <c r="G21" s="138">
        <f>A2.5.1!G6/A2.5.1!G$16</f>
        <v>3.735693665282226E-3</v>
      </c>
      <c r="H21" s="62"/>
      <c r="I21" s="138">
        <f>A2.5.1!I6/A2.5.1!I$16</f>
        <v>3.454204888930864E-3</v>
      </c>
      <c r="J21" s="58"/>
      <c r="K21" s="59">
        <f>A2.5.1!K6/A2.5.1!K$16</f>
        <v>3.3884352831463423E-3</v>
      </c>
    </row>
    <row r="22" spans="1:11" customFormat="1" ht="13.35" customHeight="1">
      <c r="A22" s="49"/>
      <c r="B22" s="116">
        <v>3706</v>
      </c>
      <c r="C22" s="16" t="s">
        <v>72</v>
      </c>
      <c r="D22" s="62"/>
      <c r="E22" s="138">
        <f>A2.5.1!E7/A2.5.1!E$16</f>
        <v>1.3971677388874547E-4</v>
      </c>
      <c r="F22" s="62"/>
      <c r="G22" s="138">
        <f>A2.5.1!G7/A2.5.1!G$16</f>
        <v>9.8560344351197708E-5</v>
      </c>
      <c r="H22" s="62"/>
      <c r="I22" s="138">
        <f>A2.5.1!I7/A2.5.1!I$16</f>
        <v>2.3126033079150191E-6</v>
      </c>
      <c r="J22" s="58"/>
      <c r="K22" s="59">
        <f>A2.5.1!K7/A2.5.1!K$16</f>
        <v>3.5410364590102951E-6</v>
      </c>
    </row>
    <row r="23" spans="1:11" customFormat="1" ht="13.35" customHeight="1">
      <c r="A23" s="49"/>
      <c r="B23" s="116">
        <v>3707</v>
      </c>
      <c r="C23" s="16" t="s">
        <v>185</v>
      </c>
      <c r="D23" s="62"/>
      <c r="E23" s="138">
        <f>A2.5.1!E8/A2.5.1!E$16</f>
        <v>0.17250590369119453</v>
      </c>
      <c r="F23" s="62"/>
      <c r="G23" s="138">
        <f>A2.5.1!G8/A2.5.1!G$16</f>
        <v>8.8936452290856671E-2</v>
      </c>
      <c r="H23" s="62"/>
      <c r="I23" s="138">
        <f>A2.5.1!I8/A2.5.1!I$16</f>
        <v>8.426223528030348E-2</v>
      </c>
      <c r="J23" s="58"/>
      <c r="K23" s="59">
        <f>A2.5.1!K8/A2.5.1!K$16</f>
        <v>8.6137093742295459E-2</v>
      </c>
    </row>
    <row r="24" spans="1:11" customFormat="1" ht="13.35" customHeight="1">
      <c r="A24" s="49"/>
      <c r="B24" s="116">
        <v>3708</v>
      </c>
      <c r="C24" s="16" t="s">
        <v>73</v>
      </c>
      <c r="D24" s="62"/>
      <c r="E24" s="138">
        <f>A2.5.1!E9/A2.5.1!E$16</f>
        <v>4.3245030974501872E-3</v>
      </c>
      <c r="F24" s="62"/>
      <c r="G24" s="138">
        <f>A2.5.1!G9/A2.5.1!G$16</f>
        <v>5.3638340366472656E-3</v>
      </c>
      <c r="H24" s="62"/>
      <c r="I24" s="138">
        <f>A2.5.1!I9/A2.5.1!I$16</f>
        <v>4.5643920417705571E-3</v>
      </c>
      <c r="J24" s="58"/>
      <c r="K24" s="59">
        <f>A2.5.1!K9/A2.5.1!K$16</f>
        <v>4.7639239369659768E-3</v>
      </c>
    </row>
    <row r="25" spans="1:11" customFormat="1" ht="13.35" customHeight="1">
      <c r="A25" s="49"/>
      <c r="B25" s="116">
        <v>3710</v>
      </c>
      <c r="C25" s="16" t="s">
        <v>74</v>
      </c>
      <c r="D25" s="62"/>
      <c r="E25" s="138">
        <f>A2.5.1!E10/A2.5.1!E$16</f>
        <v>1.9959030502319497E-4</v>
      </c>
      <c r="F25" s="62"/>
      <c r="G25" s="138">
        <f>A2.5.1!G10/A2.5.1!G$16</f>
        <v>2.1532512086037874E-4</v>
      </c>
      <c r="H25" s="62"/>
      <c r="I25" s="138">
        <f>A2.5.1!I10/A2.5.1!I$16</f>
        <v>1.9305025955194722E-5</v>
      </c>
      <c r="J25" s="58"/>
      <c r="K25" s="59">
        <f>A2.5.1!K10/A2.5.1!K$16</f>
        <v>1.2242925310764905E-5</v>
      </c>
    </row>
    <row r="26" spans="1:11" customFormat="1" ht="13.35" customHeight="1">
      <c r="A26" s="26"/>
      <c r="B26" s="116">
        <v>3711</v>
      </c>
      <c r="C26" s="16" t="s">
        <v>75</v>
      </c>
      <c r="D26" s="62"/>
      <c r="E26" s="138">
        <f>A2.5.1!E11/A2.5.1!E$16</f>
        <v>1.2303890619954341E-3</v>
      </c>
      <c r="F26" s="62"/>
      <c r="G26" s="138">
        <f>A2.5.1!G11/A2.5.1!G$16</f>
        <v>1.2262905284084733E-3</v>
      </c>
      <c r="H26" s="62"/>
      <c r="I26" s="138">
        <f>A2.5.1!I11/A2.5.1!I$16</f>
        <v>7.8152329018351829E-6</v>
      </c>
      <c r="J26" s="58"/>
      <c r="K26" s="59">
        <f>A2.5.1!K11/A2.5.1!K$16</f>
        <v>2.4883161825440044E-6</v>
      </c>
    </row>
    <row r="27" spans="1:11" customFormat="1" ht="13.35" customHeight="1">
      <c r="A27" s="26"/>
      <c r="B27" s="116">
        <v>3712</v>
      </c>
      <c r="C27" s="16" t="s">
        <v>114</v>
      </c>
      <c r="D27" s="62"/>
      <c r="E27" s="138">
        <f>A2.5.1!E12/A2.5.1!E$16</f>
        <v>8.8257995484100245E-3</v>
      </c>
      <c r="F27" s="62"/>
      <c r="G27" s="138">
        <f>A2.5.1!G12/A2.5.1!G$16</f>
        <v>1.0224679856450541E-2</v>
      </c>
      <c r="H27" s="62"/>
      <c r="I27" s="138">
        <f>A2.5.1!I12/A2.5.1!I$16</f>
        <v>8.5562154179122708E-5</v>
      </c>
      <c r="J27" s="58"/>
      <c r="K27" s="59">
        <f>A2.5.1!K12/A2.5.1!K$16</f>
        <v>2.5052521286423675E-5</v>
      </c>
    </row>
    <row r="28" spans="1:11" customFormat="1" ht="13.35" customHeight="1">
      <c r="A28" s="26"/>
      <c r="B28" s="135">
        <v>3713</v>
      </c>
      <c r="C28" s="27" t="s">
        <v>76</v>
      </c>
      <c r="D28" s="62"/>
      <c r="E28" s="138">
        <f>A2.5.1!E13/A2.5.1!E$16</f>
        <v>0.27533158032639116</v>
      </c>
      <c r="F28" s="62"/>
      <c r="G28" s="138">
        <f>A2.5.1!G13/A2.5.1!G$16</f>
        <v>0.34072503858689573</v>
      </c>
      <c r="H28" s="62"/>
      <c r="I28" s="138">
        <f>A2.5.1!I13/A2.5.1!I$16</f>
        <v>0.39954459043972862</v>
      </c>
      <c r="J28" s="58"/>
      <c r="K28" s="59">
        <f>A2.5.1!K13/A2.5.1!K$16</f>
        <v>0.46246201232334522</v>
      </c>
    </row>
    <row r="29" spans="1:11" customFormat="1" ht="13.35" customHeight="1">
      <c r="A29" s="26"/>
      <c r="B29" s="135"/>
      <c r="C29" s="246" t="s">
        <v>5</v>
      </c>
      <c r="D29" s="62"/>
      <c r="E29" s="138">
        <f>A2.5.1!E14/A2.5.1!E$16</f>
        <v>8.1543638572602675E-3</v>
      </c>
      <c r="F29" s="62"/>
      <c r="G29" s="138">
        <f>A2.5.1!G14/A2.5.1!G$16</f>
        <v>1.0371679767783226E-2</v>
      </c>
      <c r="H29" s="62"/>
      <c r="I29" s="138">
        <f>A2.5.1!I14/A2.5.1!I$16</f>
        <v>1.285766891432997E-2</v>
      </c>
      <c r="J29" s="58"/>
      <c r="K29" s="59">
        <f>A2.5.1!K14/A2.5.1!K$16</f>
        <v>2.0569553602928583E-2</v>
      </c>
    </row>
    <row r="30" spans="1:11" customFormat="1" ht="13.35" customHeight="1">
      <c r="A30" s="26"/>
      <c r="B30" s="135"/>
      <c r="C30" s="246" t="s">
        <v>277</v>
      </c>
      <c r="D30" s="62"/>
      <c r="E30" s="138">
        <f>A2.5.1!E15/A2.5.1!E$16</f>
        <v>1.2558167110099897E-3</v>
      </c>
      <c r="F30" s="62"/>
      <c r="G30" s="138">
        <f>A2.5.1!G15/A2.5.1!G$16</f>
        <v>2.0651171269840071E-3</v>
      </c>
      <c r="H30" s="62"/>
      <c r="I30" s="138">
        <f>A2.5.1!I15/A2.5.1!I$16</f>
        <v>3.2466485322360742E-3</v>
      </c>
      <c r="J30" s="58"/>
      <c r="K30" s="59">
        <f>A2.5.1!K15/A2.5.1!K$16</f>
        <v>2.6353986057707727E-3</v>
      </c>
    </row>
    <row r="31" spans="1:11" customFormat="1" ht="13.35" customHeight="1">
      <c r="A31" s="103"/>
      <c r="B31" s="104" t="s">
        <v>9</v>
      </c>
      <c r="C31" s="105"/>
      <c r="D31" s="287"/>
      <c r="E31" s="288">
        <f t="shared" ref="E31:K31" si="4">SUM(E19:E30)</f>
        <v>0.99999999999999989</v>
      </c>
      <c r="F31" s="287"/>
      <c r="G31" s="288">
        <f t="shared" si="4"/>
        <v>1.0000000000000002</v>
      </c>
      <c r="H31" s="287"/>
      <c r="I31" s="288">
        <f t="shared" si="4"/>
        <v>1</v>
      </c>
      <c r="J31" s="287"/>
      <c r="K31" s="289">
        <f t="shared" si="4"/>
        <v>1</v>
      </c>
    </row>
    <row r="32" spans="1:11" customFormat="1" ht="13.35" customHeight="1">
      <c r="A32" s="290"/>
      <c r="B32" s="572">
        <v>3713</v>
      </c>
      <c r="C32" s="295" t="s">
        <v>407</v>
      </c>
      <c r="D32" s="291"/>
      <c r="E32" s="292">
        <f>E17/E16</f>
        <v>0.28572707601570857</v>
      </c>
      <c r="F32" s="291"/>
      <c r="G32" s="292">
        <f>G17/G16</f>
        <v>0.35248989443696632</v>
      </c>
      <c r="H32" s="291"/>
      <c r="I32" s="292">
        <f>I17/I16</f>
        <v>0.39965958545607266</v>
      </c>
      <c r="J32" s="291"/>
      <c r="K32" s="293">
        <f>K17/K16</f>
        <v>0.46250533712258401</v>
      </c>
    </row>
    <row r="33" spans="1:11" customFormat="1" ht="12" customHeight="1">
      <c r="A33" s="1"/>
      <c r="B33" s="29" t="s">
        <v>180</v>
      </c>
      <c r="C33" s="1"/>
      <c r="D33" s="1"/>
      <c r="E33" s="1"/>
      <c r="F33" s="1"/>
      <c r="G33" s="1"/>
      <c r="H33" s="1"/>
      <c r="I33" s="1"/>
      <c r="J33" s="1"/>
      <c r="K33" s="1"/>
    </row>
    <row r="34" spans="1:11" customFormat="1" ht="12" customHeight="1">
      <c r="A34" s="1"/>
      <c r="B34" s="29" t="s">
        <v>408</v>
      </c>
      <c r="C34" s="1"/>
      <c r="D34" s="1"/>
      <c r="E34" s="1"/>
      <c r="F34" s="1"/>
      <c r="G34" s="1"/>
      <c r="H34" s="1"/>
      <c r="I34" s="1"/>
      <c r="J34" s="1"/>
      <c r="K34" s="1"/>
    </row>
    <row r="35" spans="1:11" customFormat="1" ht="12" customHeight="1">
      <c r="A35" s="1"/>
      <c r="B35" s="29" t="s">
        <v>410</v>
      </c>
      <c r="C35" s="1"/>
      <c r="D35" s="1"/>
      <c r="E35" s="1"/>
      <c r="F35" s="1"/>
      <c r="G35" s="1"/>
      <c r="H35" s="1"/>
      <c r="I35" s="1"/>
      <c r="J35" s="1"/>
      <c r="K35" s="1"/>
    </row>
    <row r="36" spans="1:11" customFormat="1" ht="12" customHeight="1">
      <c r="A36" s="1"/>
      <c r="B36" s="29" t="s">
        <v>409</v>
      </c>
      <c r="C36" s="1"/>
      <c r="D36" s="1"/>
      <c r="E36" s="1"/>
      <c r="F36" s="1"/>
      <c r="G36" s="1"/>
      <c r="H36" s="1"/>
      <c r="I36" s="1"/>
      <c r="J36" s="1"/>
      <c r="K36" s="1"/>
    </row>
    <row r="37" spans="1:11" customFormat="1" ht="13.35" customHeight="1">
      <c r="A37" s="1"/>
      <c r="B37" s="2"/>
      <c r="C37" s="1"/>
      <c r="D37" s="1"/>
      <c r="E37" s="1"/>
      <c r="F37" s="1"/>
      <c r="G37" s="1"/>
      <c r="H37" s="1"/>
      <c r="I37" s="1"/>
      <c r="J37" s="1"/>
      <c r="K37" s="1"/>
    </row>
    <row r="38" spans="1:11" s="1" customFormat="1" ht="13.35" customHeight="1">
      <c r="E38" s="560" t="s">
        <v>506</v>
      </c>
    </row>
    <row r="39" spans="1:11" s="1" customFormat="1" ht="13.35" customHeight="1"/>
    <row r="40" spans="1:11" customFormat="1" ht="13.35" customHeight="1">
      <c r="H40" s="1"/>
    </row>
    <row r="41" spans="1:11" customFormat="1" ht="13.35" customHeight="1">
      <c r="D41" s="143">
        <f>D16/A2.1.1!D29</f>
        <v>0</v>
      </c>
      <c r="E41" s="142"/>
      <c r="F41" s="143">
        <f>F16/A2.1.1!G29</f>
        <v>0</v>
      </c>
      <c r="G41" s="142"/>
      <c r="H41" s="143">
        <f>H16/A2.1.1!J29</f>
        <v>0</v>
      </c>
      <c r="I41" s="142"/>
      <c r="J41" s="143">
        <f>J16/A2.1.1!M29</f>
        <v>0</v>
      </c>
    </row>
    <row r="42" spans="1:11" customFormat="1" ht="13.35" customHeight="1">
      <c r="E42" s="199">
        <f>+E16+A2.6.1!E16</f>
        <v>79138.197844000009</v>
      </c>
      <c r="H42" s="6"/>
      <c r="I42" s="6"/>
      <c r="K42" s="143">
        <f>AVERAGE(D41,F41,H41,J41)</f>
        <v>0</v>
      </c>
    </row>
    <row r="43" spans="1:11" customFormat="1" ht="13.35" customHeight="1">
      <c r="C43" s="2"/>
      <c r="D43" s="199" t="e">
        <f>AVERAGE(D16,F16,H16,J16)</f>
        <v>#DIV/0!</v>
      </c>
      <c r="E43" s="13"/>
      <c r="F43" s="14"/>
      <c r="G43" s="6"/>
      <c r="H43" s="6"/>
      <c r="I43" s="6"/>
      <c r="J43" s="6"/>
      <c r="K43" s="143">
        <f>K16/E16-1</f>
        <v>8.4231760735070882E-2</v>
      </c>
    </row>
    <row r="44" spans="1:11" customFormat="1" ht="13.35" customHeight="1">
      <c r="C44" s="2"/>
      <c r="D44" s="2"/>
      <c r="E44" s="13"/>
      <c r="F44" s="14"/>
      <c r="G44" s="6"/>
      <c r="H44" s="6"/>
      <c r="I44" s="6"/>
      <c r="J44" s="6"/>
      <c r="K44" s="6"/>
    </row>
    <row r="45" spans="1:11" customFormat="1" ht="13.35" customHeight="1">
      <c r="C45" s="2"/>
      <c r="D45" s="2"/>
      <c r="E45" s="13"/>
      <c r="F45" s="14"/>
      <c r="G45" s="6"/>
      <c r="H45" s="6"/>
      <c r="I45" s="6"/>
      <c r="J45" s="6"/>
      <c r="K45" s="6"/>
    </row>
    <row r="46" spans="1:11" customFormat="1" ht="13.35" customHeight="1">
      <c r="C46" s="2"/>
      <c r="D46" s="2"/>
      <c r="E46" s="13"/>
      <c r="F46" s="14"/>
      <c r="G46" s="6"/>
      <c r="H46" s="6"/>
      <c r="I46" s="6"/>
      <c r="J46" s="6"/>
      <c r="K46" s="6"/>
    </row>
    <row r="47" spans="1:11" customFormat="1" ht="13.35" customHeight="1">
      <c r="C47" s="281" t="s">
        <v>5</v>
      </c>
      <c r="D47" s="282">
        <f t="shared" ref="D47:K47" si="5">SUM(D48:D50)</f>
        <v>5300</v>
      </c>
      <c r="E47" s="282">
        <f t="shared" si="5"/>
        <v>530.89431999999999</v>
      </c>
      <c r="F47" s="282">
        <f t="shared" si="5"/>
        <v>13656</v>
      </c>
      <c r="G47" s="282">
        <f t="shared" si="5"/>
        <v>712.92210999999998</v>
      </c>
      <c r="H47" s="282">
        <f t="shared" si="5"/>
        <v>12869</v>
      </c>
      <c r="I47" s="282">
        <f t="shared" si="5"/>
        <v>919.23917100000006</v>
      </c>
      <c r="J47" s="282">
        <f t="shared" si="5"/>
        <v>16664</v>
      </c>
      <c r="K47" s="283">
        <f t="shared" si="5"/>
        <v>1451.9945440000001</v>
      </c>
    </row>
    <row r="48" spans="1:11" customFormat="1" ht="13.35" customHeight="1">
      <c r="C48" s="273" t="s">
        <v>278</v>
      </c>
      <c r="D48" s="275">
        <v>2348</v>
      </c>
      <c r="E48" s="275">
        <v>50.327088000000003</v>
      </c>
      <c r="F48" s="275">
        <v>2530</v>
      </c>
      <c r="G48" s="275">
        <v>53.753259999999997</v>
      </c>
      <c r="H48" s="275">
        <v>3333</v>
      </c>
      <c r="I48" s="275">
        <v>74.805199999999999</v>
      </c>
      <c r="J48" s="275">
        <v>3783</v>
      </c>
      <c r="K48" s="276">
        <v>70.614267999999996</v>
      </c>
    </row>
    <row r="49" spans="3:11" customFormat="1" ht="13.35" customHeight="1">
      <c r="C49" s="273" t="s">
        <v>279</v>
      </c>
      <c r="D49" s="275">
        <v>1658</v>
      </c>
      <c r="E49" s="275">
        <v>28.911093000000001</v>
      </c>
      <c r="F49" s="275">
        <v>1483</v>
      </c>
      <c r="G49" s="275">
        <v>23.947965</v>
      </c>
      <c r="H49" s="275">
        <v>1936</v>
      </c>
      <c r="I49" s="275">
        <v>76.183406000000005</v>
      </c>
      <c r="J49" s="275">
        <v>6618</v>
      </c>
      <c r="K49" s="276">
        <v>227.29845700000001</v>
      </c>
    </row>
    <row r="50" spans="3:11" customFormat="1" ht="13.35" customHeight="1">
      <c r="C50" s="274" t="s">
        <v>280</v>
      </c>
      <c r="D50" s="277">
        <v>1294</v>
      </c>
      <c r="E50" s="277">
        <v>451.656139</v>
      </c>
      <c r="F50" s="277">
        <v>9643</v>
      </c>
      <c r="G50" s="277">
        <v>635.22088499999995</v>
      </c>
      <c r="H50" s="277">
        <v>7600</v>
      </c>
      <c r="I50" s="277">
        <v>768.25056500000005</v>
      </c>
      <c r="J50" s="277">
        <v>6263</v>
      </c>
      <c r="K50" s="278">
        <v>1154.081819</v>
      </c>
    </row>
    <row r="51" spans="3:11" customFormat="1" ht="13.35" customHeight="1">
      <c r="D51" s="279"/>
      <c r="E51" s="279"/>
      <c r="F51" s="279"/>
      <c r="G51" s="280"/>
      <c r="H51" s="279"/>
      <c r="I51" s="279"/>
      <c r="J51" s="280"/>
      <c r="K51" s="280"/>
    </row>
    <row r="52" spans="3:11" customFormat="1" ht="13.35" customHeight="1">
      <c r="C52" s="281" t="s">
        <v>277</v>
      </c>
      <c r="D52" s="282">
        <f t="shared" ref="D52:K52" si="6">SUM(D53:D65)</f>
        <v>806</v>
      </c>
      <c r="E52" s="282">
        <f t="shared" si="6"/>
        <v>81.76063400000001</v>
      </c>
      <c r="F52" s="282">
        <f t="shared" si="6"/>
        <v>1099</v>
      </c>
      <c r="G52" s="282">
        <f t="shared" si="6"/>
        <v>141.95074399999999</v>
      </c>
      <c r="H52" s="282">
        <f t="shared" si="6"/>
        <v>1453</v>
      </c>
      <c r="I52" s="282">
        <f t="shared" si="6"/>
        <v>232.11411999999996</v>
      </c>
      <c r="J52" s="282">
        <f t="shared" si="6"/>
        <v>1618</v>
      </c>
      <c r="K52" s="283">
        <f t="shared" si="6"/>
        <v>186.03147500000003</v>
      </c>
    </row>
    <row r="53" spans="3:11" customFormat="1" ht="13.35" customHeight="1">
      <c r="C53" s="284" t="s">
        <v>281</v>
      </c>
      <c r="D53" s="285">
        <v>202</v>
      </c>
      <c r="E53" s="285">
        <v>7.7372899999999998</v>
      </c>
      <c r="F53" s="285">
        <v>267</v>
      </c>
      <c r="G53" s="285">
        <v>12.147081999999999</v>
      </c>
      <c r="H53" s="285">
        <v>303</v>
      </c>
      <c r="I53" s="285">
        <v>13.729604</v>
      </c>
      <c r="J53" s="285">
        <v>362</v>
      </c>
      <c r="K53" s="286">
        <v>17.960501000000001</v>
      </c>
    </row>
    <row r="54" spans="3:11" customFormat="1" ht="13.35" customHeight="1">
      <c r="C54" s="273" t="s">
        <v>282</v>
      </c>
      <c r="D54" s="275">
        <v>43</v>
      </c>
      <c r="E54" s="275">
        <v>0.94575299999999995</v>
      </c>
      <c r="F54" s="275">
        <v>50</v>
      </c>
      <c r="G54" s="275">
        <v>1.5225919999999999</v>
      </c>
      <c r="H54" s="275">
        <v>52</v>
      </c>
      <c r="I54" s="275">
        <v>1.189694</v>
      </c>
      <c r="J54" s="275">
        <v>59</v>
      </c>
      <c r="K54" s="276">
        <v>0.91495000000000004</v>
      </c>
    </row>
    <row r="55" spans="3:11" customFormat="1" ht="13.35" customHeight="1">
      <c r="C55" s="273" t="s">
        <v>283</v>
      </c>
      <c r="D55" s="275">
        <v>38</v>
      </c>
      <c r="E55" s="275">
        <v>1.862058</v>
      </c>
      <c r="F55" s="275">
        <v>45</v>
      </c>
      <c r="G55" s="275">
        <v>2.9908739999999998</v>
      </c>
      <c r="H55" s="275">
        <v>57</v>
      </c>
      <c r="I55" s="275">
        <v>1.4559439999999999</v>
      </c>
      <c r="J55" s="275">
        <v>192</v>
      </c>
      <c r="K55" s="276">
        <v>2.0351849999999998</v>
      </c>
    </row>
    <row r="56" spans="3:11" customFormat="1" ht="13.35" customHeight="1">
      <c r="C56" s="273" t="s">
        <v>284</v>
      </c>
      <c r="D56" s="275">
        <v>0</v>
      </c>
      <c r="E56" s="275">
        <v>0</v>
      </c>
      <c r="F56" s="275">
        <v>2</v>
      </c>
      <c r="G56" s="275">
        <v>0.1288</v>
      </c>
      <c r="H56" s="275">
        <v>0</v>
      </c>
      <c r="I56" s="275">
        <v>0</v>
      </c>
      <c r="J56" s="275">
        <v>0</v>
      </c>
      <c r="K56" s="276">
        <v>0</v>
      </c>
    </row>
    <row r="57" spans="3:11" customFormat="1" ht="13.35" customHeight="1">
      <c r="C57" s="273" t="s">
        <v>285</v>
      </c>
      <c r="D57" s="275">
        <v>43</v>
      </c>
      <c r="E57" s="275">
        <v>41.970756000000002</v>
      </c>
      <c r="F57" s="275">
        <v>70</v>
      </c>
      <c r="G57" s="275">
        <v>62.388154999999998</v>
      </c>
      <c r="H57" s="275">
        <v>120</v>
      </c>
      <c r="I57" s="275">
        <v>84.489953</v>
      </c>
      <c r="J57" s="275">
        <v>93</v>
      </c>
      <c r="K57" s="276">
        <v>61.092714999999998</v>
      </c>
    </row>
    <row r="58" spans="3:11" customFormat="1" ht="13.35" customHeight="1">
      <c r="C58" s="273" t="s">
        <v>286</v>
      </c>
      <c r="D58" s="275">
        <v>0</v>
      </c>
      <c r="E58" s="275">
        <v>0</v>
      </c>
      <c r="F58" s="275">
        <v>1</v>
      </c>
      <c r="G58" s="275">
        <v>0.194495</v>
      </c>
      <c r="H58" s="275">
        <v>0</v>
      </c>
      <c r="I58" s="275">
        <v>0</v>
      </c>
      <c r="J58" s="275">
        <v>1</v>
      </c>
      <c r="K58" s="276">
        <v>3.6579999999999998E-3</v>
      </c>
    </row>
    <row r="59" spans="3:11" customFormat="1" ht="13.35" customHeight="1">
      <c r="C59" s="273" t="s">
        <v>287</v>
      </c>
      <c r="D59" s="275">
        <v>2</v>
      </c>
      <c r="E59" s="275">
        <v>7.0600000000000003E-3</v>
      </c>
      <c r="F59" s="275">
        <v>1</v>
      </c>
      <c r="G59" s="275">
        <v>3.3E-3</v>
      </c>
      <c r="H59" s="275">
        <v>0</v>
      </c>
      <c r="I59" s="275">
        <v>0</v>
      </c>
      <c r="J59" s="275">
        <v>0</v>
      </c>
      <c r="K59" s="276">
        <v>0</v>
      </c>
    </row>
    <row r="60" spans="3:11" customFormat="1" ht="13.35" customHeight="1">
      <c r="C60" s="273" t="s">
        <v>288</v>
      </c>
      <c r="D60" s="275">
        <v>22</v>
      </c>
      <c r="E60" s="275">
        <v>9.7872000000000001E-2</v>
      </c>
      <c r="F60" s="275">
        <v>42</v>
      </c>
      <c r="G60" s="275">
        <v>0.22262599999999999</v>
      </c>
      <c r="H60" s="275">
        <v>0</v>
      </c>
      <c r="I60" s="275">
        <v>0</v>
      </c>
      <c r="J60" s="275">
        <v>0</v>
      </c>
      <c r="K60" s="276">
        <v>0</v>
      </c>
    </row>
    <row r="61" spans="3:11" customFormat="1" ht="13.35" customHeight="1">
      <c r="C61" s="273" t="s">
        <v>289</v>
      </c>
      <c r="D61" s="275">
        <v>83</v>
      </c>
      <c r="E61" s="275">
        <v>0.27418599999999999</v>
      </c>
      <c r="F61" s="275">
        <v>42</v>
      </c>
      <c r="G61" s="275">
        <v>0.16910700000000001</v>
      </c>
      <c r="H61" s="275">
        <v>3</v>
      </c>
      <c r="I61" s="275">
        <v>3.0397E-2</v>
      </c>
      <c r="J61" s="275">
        <v>1</v>
      </c>
      <c r="K61" s="276">
        <v>7.6020000000000003E-3</v>
      </c>
    </row>
    <row r="62" spans="3:11" customFormat="1" ht="13.35" customHeight="1">
      <c r="C62" s="273" t="s">
        <v>290</v>
      </c>
      <c r="D62" s="275">
        <v>342</v>
      </c>
      <c r="E62" s="275">
        <v>27.685465000000001</v>
      </c>
      <c r="F62" s="275">
        <v>524</v>
      </c>
      <c r="G62" s="275">
        <v>57.299506000000001</v>
      </c>
      <c r="H62" s="275">
        <v>852</v>
      </c>
      <c r="I62" s="275">
        <v>127.31902599999999</v>
      </c>
      <c r="J62" s="275">
        <v>839</v>
      </c>
      <c r="K62" s="276">
        <v>97.098270999999997</v>
      </c>
    </row>
    <row r="63" spans="3:11" customFormat="1" ht="13.35" customHeight="1">
      <c r="C63" s="273" t="s">
        <v>291</v>
      </c>
      <c r="D63" s="275">
        <v>27</v>
      </c>
      <c r="E63" s="275">
        <v>1.007976</v>
      </c>
      <c r="F63" s="275">
        <v>23</v>
      </c>
      <c r="G63" s="275">
        <v>1.509325</v>
      </c>
      <c r="H63" s="275">
        <v>54</v>
      </c>
      <c r="I63" s="275">
        <v>2.2254939999999999</v>
      </c>
      <c r="J63" s="275">
        <v>32</v>
      </c>
      <c r="K63" s="276">
        <v>2.6908500000000002</v>
      </c>
    </row>
    <row r="64" spans="3:11" customFormat="1" ht="13.35" customHeight="1">
      <c r="C64" s="273" t="s">
        <v>292</v>
      </c>
      <c r="D64" s="275">
        <v>2</v>
      </c>
      <c r="E64" s="275">
        <v>6.7418000000000006E-2</v>
      </c>
      <c r="F64" s="275">
        <v>1</v>
      </c>
      <c r="G64" s="275">
        <v>0.260349</v>
      </c>
      <c r="H64" s="275">
        <v>0</v>
      </c>
      <c r="I64" s="275">
        <v>0</v>
      </c>
      <c r="J64" s="275">
        <v>0</v>
      </c>
      <c r="K64" s="276">
        <v>0</v>
      </c>
    </row>
    <row r="65" spans="3:11" customFormat="1" ht="13.35" customHeight="1">
      <c r="C65" s="274" t="s">
        <v>293</v>
      </c>
      <c r="D65" s="277">
        <v>2</v>
      </c>
      <c r="E65" s="277">
        <v>0.1048</v>
      </c>
      <c r="F65" s="277">
        <v>31</v>
      </c>
      <c r="G65" s="277">
        <v>3.1145330000000002</v>
      </c>
      <c r="H65" s="277">
        <v>12</v>
      </c>
      <c r="I65" s="277">
        <v>1.6740079999999999</v>
      </c>
      <c r="J65" s="277">
        <v>39</v>
      </c>
      <c r="K65" s="278">
        <v>4.2277430000000003</v>
      </c>
    </row>
    <row r="66" spans="3:11" customFormat="1" ht="13.35" customHeight="1">
      <c r="G66" s="1"/>
      <c r="J66" s="1"/>
      <c r="K66" s="1"/>
    </row>
  </sheetData>
  <mergeCells count="1">
    <mergeCell ref="J2:K2"/>
  </mergeCells>
  <phoneticPr fontId="7" type="noConversion"/>
  <hyperlinks>
    <hyperlink ref="E38" location="CONTENTS!A1" display="BACK TO CONTENTS"/>
  </hyperlinks>
  <pageMargins left="0.98425196850393704" right="0.98425196850393704" top="0.98425196850393704" bottom="0.98425196850393704" header="0.51181102362204722" footer="0.51181102362204722"/>
  <pageSetup paperSize="9" scale="95" orientation="landscape" r:id="rId1"/>
  <headerFooter alignWithMargins="0"/>
</worksheet>
</file>

<file path=xl/worksheets/sheet33.xml><?xml version="1.0" encoding="utf-8"?>
<worksheet xmlns="http://schemas.openxmlformats.org/spreadsheetml/2006/main" xmlns:r="http://schemas.openxmlformats.org/officeDocument/2006/relationships">
  <sheetPr codeName="Sheet3" enableFormatConditionsCalculation="0">
    <pageSetUpPr fitToPage="1"/>
  </sheetPr>
  <dimension ref="A1:K34"/>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15" customHeight="1">
      <c r="A1" s="465" t="s">
        <v>510</v>
      </c>
      <c r="B1" s="465"/>
      <c r="C1" s="465"/>
      <c r="D1" s="465"/>
      <c r="E1" s="465"/>
      <c r="F1" s="465"/>
      <c r="G1" s="465"/>
      <c r="H1" s="465"/>
      <c r="I1" s="465"/>
      <c r="J1" s="465"/>
      <c r="K1" s="465"/>
    </row>
    <row r="2" spans="1:11" s="8" customFormat="1" ht="15" customHeight="1">
      <c r="A2" s="90"/>
      <c r="B2" s="91" t="s">
        <v>183</v>
      </c>
      <c r="C2" s="92"/>
      <c r="D2" s="84" t="s">
        <v>467</v>
      </c>
      <c r="E2" s="67"/>
      <c r="F2" s="65" t="s">
        <v>468</v>
      </c>
      <c r="G2" s="67"/>
      <c r="H2" s="65" t="s">
        <v>469</v>
      </c>
      <c r="I2" s="67"/>
      <c r="J2" s="708" t="s">
        <v>470</v>
      </c>
      <c r="K2" s="709"/>
    </row>
    <row r="3" spans="1:11" ht="22.5" customHeight="1">
      <c r="A3" s="80"/>
      <c r="B3" s="703" t="s">
        <v>95</v>
      </c>
      <c r="C3" s="702"/>
      <c r="D3" s="32" t="s">
        <v>18</v>
      </c>
      <c r="E3" s="134" t="s">
        <v>110</v>
      </c>
      <c r="F3" s="32" t="s">
        <v>18</v>
      </c>
      <c r="G3" s="134" t="s">
        <v>110</v>
      </c>
      <c r="H3" s="32" t="s">
        <v>18</v>
      </c>
      <c r="I3" s="134" t="s">
        <v>110</v>
      </c>
      <c r="J3" s="33" t="s">
        <v>18</v>
      </c>
      <c r="K3" s="86" t="s">
        <v>110</v>
      </c>
    </row>
    <row r="4" spans="1:11" ht="13.35" customHeight="1">
      <c r="A4" s="49"/>
      <c r="B4" s="16" t="s">
        <v>19</v>
      </c>
      <c r="C4" s="16" t="s">
        <v>44</v>
      </c>
      <c r="D4" s="19">
        <v>1533</v>
      </c>
      <c r="E4" s="15">
        <v>61.110888000000003</v>
      </c>
      <c r="F4" s="19">
        <v>1632</v>
      </c>
      <c r="G4" s="15">
        <v>68.235589000000004</v>
      </c>
      <c r="H4" s="19">
        <v>1358</v>
      </c>
      <c r="I4" s="15">
        <v>57.078788000000003</v>
      </c>
      <c r="J4" s="19">
        <v>944</v>
      </c>
      <c r="K4" s="24">
        <v>38.856270000000002</v>
      </c>
    </row>
    <row r="5" spans="1:11" ht="13.35" customHeight="1">
      <c r="A5" s="49"/>
      <c r="B5" s="16" t="s">
        <v>20</v>
      </c>
      <c r="C5" s="50" t="s">
        <v>137</v>
      </c>
      <c r="D5" s="19">
        <v>38</v>
      </c>
      <c r="E5" s="15">
        <v>1.45652</v>
      </c>
      <c r="F5" s="19">
        <v>66</v>
      </c>
      <c r="G5" s="15">
        <v>2.816684</v>
      </c>
      <c r="H5" s="19">
        <v>83</v>
      </c>
      <c r="I5" s="15">
        <v>3.9222570000000001</v>
      </c>
      <c r="J5" s="19">
        <v>90</v>
      </c>
      <c r="K5" s="24">
        <v>4.7916970000000001</v>
      </c>
    </row>
    <row r="6" spans="1:11" ht="13.35" customHeight="1">
      <c r="A6" s="49"/>
      <c r="B6" s="16" t="s">
        <v>21</v>
      </c>
      <c r="C6" s="16" t="s">
        <v>45</v>
      </c>
      <c r="D6" s="19">
        <v>3370</v>
      </c>
      <c r="E6" s="15">
        <v>28.934660999999998</v>
      </c>
      <c r="F6" s="19">
        <v>2978</v>
      </c>
      <c r="G6" s="15">
        <v>29.665672000000001</v>
      </c>
      <c r="H6" s="19">
        <v>3011</v>
      </c>
      <c r="I6" s="15">
        <v>24.214783000000001</v>
      </c>
      <c r="J6" s="19">
        <v>1949</v>
      </c>
      <c r="K6" s="24">
        <v>14.770204</v>
      </c>
    </row>
    <row r="7" spans="1:11" ht="13.35" customHeight="1">
      <c r="A7" s="49"/>
      <c r="B7" s="16" t="s">
        <v>22</v>
      </c>
      <c r="C7" s="16" t="s">
        <v>46</v>
      </c>
      <c r="D7" s="19">
        <v>2919</v>
      </c>
      <c r="E7" s="15">
        <v>30.511544000000001</v>
      </c>
      <c r="F7" s="19">
        <v>2551</v>
      </c>
      <c r="G7" s="15">
        <v>28.427099999999999</v>
      </c>
      <c r="H7" s="19">
        <v>2419</v>
      </c>
      <c r="I7" s="15">
        <v>24.68947</v>
      </c>
      <c r="J7" s="19">
        <v>1533</v>
      </c>
      <c r="K7" s="24">
        <v>14.115736999999999</v>
      </c>
    </row>
    <row r="8" spans="1:11" ht="13.35" customHeight="1">
      <c r="A8" s="49"/>
      <c r="B8" s="16" t="s">
        <v>23</v>
      </c>
      <c r="C8" s="16" t="s">
        <v>47</v>
      </c>
      <c r="D8" s="19">
        <v>4497</v>
      </c>
      <c r="E8" s="15">
        <v>59.805199000000002</v>
      </c>
      <c r="F8" s="19">
        <v>3931</v>
      </c>
      <c r="G8" s="15">
        <v>52.986141000000003</v>
      </c>
      <c r="H8" s="19">
        <v>3517</v>
      </c>
      <c r="I8" s="15">
        <v>38.008839999999999</v>
      </c>
      <c r="J8" s="19">
        <v>2416</v>
      </c>
      <c r="K8" s="24">
        <v>23.146165</v>
      </c>
    </row>
    <row r="9" spans="1:11" ht="13.35" customHeight="1">
      <c r="A9" s="49"/>
      <c r="B9" s="16" t="s">
        <v>24</v>
      </c>
      <c r="C9" s="16" t="s">
        <v>48</v>
      </c>
      <c r="D9" s="19">
        <v>6381</v>
      </c>
      <c r="E9" s="15">
        <v>103.573295</v>
      </c>
      <c r="F9" s="19">
        <v>5662</v>
      </c>
      <c r="G9" s="15">
        <v>97.352070999999995</v>
      </c>
      <c r="H9" s="19">
        <v>4176</v>
      </c>
      <c r="I9" s="15">
        <v>63.373140999999997</v>
      </c>
      <c r="J9" s="19">
        <v>2869</v>
      </c>
      <c r="K9" s="24">
        <v>38.607222</v>
      </c>
    </row>
    <row r="10" spans="1:11" s="51" customFormat="1" ht="13.35" customHeight="1">
      <c r="A10" s="49"/>
      <c r="B10" s="16" t="s">
        <v>25</v>
      </c>
      <c r="C10" s="16" t="s">
        <v>49</v>
      </c>
      <c r="D10" s="19">
        <v>7425</v>
      </c>
      <c r="E10" s="15">
        <v>131.24357800000001</v>
      </c>
      <c r="F10" s="19">
        <v>6522</v>
      </c>
      <c r="G10" s="15">
        <v>117.814582</v>
      </c>
      <c r="H10" s="19">
        <v>6138</v>
      </c>
      <c r="I10" s="15">
        <v>109.59930900000001</v>
      </c>
      <c r="J10" s="19">
        <v>3951</v>
      </c>
      <c r="K10" s="24">
        <v>70.259218000000004</v>
      </c>
    </row>
    <row r="11" spans="1:11" s="1" customFormat="1" ht="13.35" customHeight="1">
      <c r="A11" s="26"/>
      <c r="B11" s="16" t="s">
        <v>26</v>
      </c>
      <c r="C11" s="16" t="s">
        <v>50</v>
      </c>
      <c r="D11" s="19">
        <v>9299</v>
      </c>
      <c r="E11" s="15">
        <v>177.47842800000001</v>
      </c>
      <c r="F11" s="19">
        <v>7887</v>
      </c>
      <c r="G11" s="15">
        <v>148.370317</v>
      </c>
      <c r="H11" s="19">
        <v>6568</v>
      </c>
      <c r="I11" s="15">
        <v>127.84476100000001</v>
      </c>
      <c r="J11" s="19">
        <v>4466</v>
      </c>
      <c r="K11" s="24">
        <v>82.963451000000006</v>
      </c>
    </row>
    <row r="12" spans="1:11" s="1" customFormat="1" ht="13.35" customHeight="1">
      <c r="A12" s="26"/>
      <c r="B12" s="16" t="s">
        <v>27</v>
      </c>
      <c r="C12" s="16" t="s">
        <v>51</v>
      </c>
      <c r="D12" s="19">
        <v>10772</v>
      </c>
      <c r="E12" s="15">
        <v>221.90706700000001</v>
      </c>
      <c r="F12" s="19">
        <v>9326</v>
      </c>
      <c r="G12" s="15">
        <v>191.55584999999999</v>
      </c>
      <c r="H12" s="19">
        <v>7541</v>
      </c>
      <c r="I12" s="15">
        <v>153.55458200000001</v>
      </c>
      <c r="J12" s="19">
        <v>4980</v>
      </c>
      <c r="K12" s="24">
        <v>103.47948100000001</v>
      </c>
    </row>
    <row r="13" spans="1:11" s="1" customFormat="1" ht="13.35" customHeight="1">
      <c r="A13" s="26"/>
      <c r="B13" s="27" t="s">
        <v>28</v>
      </c>
      <c r="C13" s="27" t="s">
        <v>52</v>
      </c>
      <c r="D13" s="19">
        <v>11900</v>
      </c>
      <c r="E13" s="15">
        <v>268.163928</v>
      </c>
      <c r="F13" s="19">
        <v>10375</v>
      </c>
      <c r="G13" s="15">
        <v>230.95069899999999</v>
      </c>
      <c r="H13" s="19">
        <v>8087</v>
      </c>
      <c r="I13" s="15">
        <v>184.51494600000001</v>
      </c>
      <c r="J13" s="19">
        <v>5495</v>
      </c>
      <c r="K13" s="24">
        <v>124.032634</v>
      </c>
    </row>
    <row r="14" spans="1:11" s="1" customFormat="1" ht="13.35" customHeight="1">
      <c r="A14" s="26"/>
      <c r="B14" s="27" t="s">
        <v>29</v>
      </c>
      <c r="C14" s="27" t="s">
        <v>53</v>
      </c>
      <c r="D14" s="19">
        <v>13106</v>
      </c>
      <c r="E14" s="15">
        <v>320.03663599999999</v>
      </c>
      <c r="F14" s="19">
        <v>11074</v>
      </c>
      <c r="G14" s="15">
        <v>267.63971800000002</v>
      </c>
      <c r="H14" s="19">
        <v>8994</v>
      </c>
      <c r="I14" s="15">
        <v>223.71703199999999</v>
      </c>
      <c r="J14" s="19">
        <v>5954</v>
      </c>
      <c r="K14" s="24">
        <v>146.985298</v>
      </c>
    </row>
    <row r="15" spans="1:11" customFormat="1" ht="13.35" customHeight="1">
      <c r="A15" s="26"/>
      <c r="B15" s="27" t="s">
        <v>30</v>
      </c>
      <c r="C15" s="27" t="s">
        <v>54</v>
      </c>
      <c r="D15" s="19">
        <v>14142</v>
      </c>
      <c r="E15" s="15">
        <v>364.15664700000002</v>
      </c>
      <c r="F15" s="19">
        <v>11816</v>
      </c>
      <c r="G15" s="15">
        <v>304.25798600000002</v>
      </c>
      <c r="H15" s="19">
        <v>9707</v>
      </c>
      <c r="I15" s="15">
        <v>260.08687400000002</v>
      </c>
      <c r="J15" s="19">
        <v>6328</v>
      </c>
      <c r="K15" s="24">
        <v>173.43238700000001</v>
      </c>
    </row>
    <row r="16" spans="1:11" customFormat="1" ht="13.35" customHeight="1">
      <c r="A16" s="26"/>
      <c r="B16" s="27" t="s">
        <v>31</v>
      </c>
      <c r="C16" s="27" t="s">
        <v>55</v>
      </c>
      <c r="D16" s="19">
        <v>15307</v>
      </c>
      <c r="E16" s="15">
        <v>418.60157600000002</v>
      </c>
      <c r="F16" s="19">
        <v>12910</v>
      </c>
      <c r="G16" s="15">
        <v>362.46614399999999</v>
      </c>
      <c r="H16" s="19">
        <v>10112</v>
      </c>
      <c r="I16" s="15">
        <v>287.93582800000001</v>
      </c>
      <c r="J16" s="19">
        <v>6978</v>
      </c>
      <c r="K16" s="24">
        <v>202.59265600000001</v>
      </c>
    </row>
    <row r="17" spans="1:11" customFormat="1" ht="13.35" customHeight="1">
      <c r="A17" s="26"/>
      <c r="B17" s="27" t="s">
        <v>32</v>
      </c>
      <c r="C17" s="27" t="s">
        <v>56</v>
      </c>
      <c r="D17" s="19">
        <v>15899</v>
      </c>
      <c r="E17" s="15">
        <v>457.27232600000002</v>
      </c>
      <c r="F17" s="19">
        <v>13698</v>
      </c>
      <c r="G17" s="15">
        <v>398.772288</v>
      </c>
      <c r="H17" s="19">
        <v>10769</v>
      </c>
      <c r="I17" s="15">
        <v>322.48495600000001</v>
      </c>
      <c r="J17" s="19">
        <v>7210</v>
      </c>
      <c r="K17" s="24">
        <v>217.65079800000001</v>
      </c>
    </row>
    <row r="18" spans="1:11" customFormat="1" ht="13.35" customHeight="1">
      <c r="A18" s="26"/>
      <c r="B18" s="27" t="s">
        <v>33</v>
      </c>
      <c r="C18" s="27" t="s">
        <v>57</v>
      </c>
      <c r="D18" s="19">
        <v>16230</v>
      </c>
      <c r="E18" s="15">
        <v>492.87263899999999</v>
      </c>
      <c r="F18" s="19">
        <v>13826</v>
      </c>
      <c r="G18" s="15">
        <v>427.25596999999999</v>
      </c>
      <c r="H18" s="19">
        <v>11276</v>
      </c>
      <c r="I18" s="15">
        <v>359.29700800000001</v>
      </c>
      <c r="J18" s="19">
        <v>7644</v>
      </c>
      <c r="K18" s="24">
        <v>245.05690000000001</v>
      </c>
    </row>
    <row r="19" spans="1:11" customFormat="1" ht="13.35" customHeight="1">
      <c r="A19" s="26"/>
      <c r="B19" s="27" t="s">
        <v>34</v>
      </c>
      <c r="C19" s="27" t="s">
        <v>58</v>
      </c>
      <c r="D19" s="19">
        <v>16287</v>
      </c>
      <c r="E19" s="15">
        <v>518.66395499999999</v>
      </c>
      <c r="F19" s="19">
        <v>14189</v>
      </c>
      <c r="G19" s="15">
        <v>458.94090299999999</v>
      </c>
      <c r="H19" s="19">
        <v>11619</v>
      </c>
      <c r="I19" s="15">
        <v>381.93594000000002</v>
      </c>
      <c r="J19" s="19">
        <v>8033</v>
      </c>
      <c r="K19" s="24">
        <v>272.797708</v>
      </c>
    </row>
    <row r="20" spans="1:11" customFormat="1" ht="13.35" customHeight="1">
      <c r="A20" s="26"/>
      <c r="B20" s="27" t="s">
        <v>35</v>
      </c>
      <c r="C20" s="87" t="s">
        <v>59</v>
      </c>
      <c r="D20" s="19">
        <v>80788</v>
      </c>
      <c r="E20" s="15">
        <v>2908.9477790000001</v>
      </c>
      <c r="F20" s="19">
        <v>72818</v>
      </c>
      <c r="G20" s="15">
        <v>2679.7721649999999</v>
      </c>
      <c r="H20" s="19">
        <v>60683</v>
      </c>
      <c r="I20" s="15">
        <v>2269.9773989999999</v>
      </c>
      <c r="J20" s="19">
        <v>42985</v>
      </c>
      <c r="K20" s="24">
        <v>1600.427034</v>
      </c>
    </row>
    <row r="21" spans="1:11" customFormat="1" ht="13.35" customHeight="1">
      <c r="A21" s="26"/>
      <c r="B21" s="27" t="s">
        <v>36</v>
      </c>
      <c r="C21" s="27" t="s">
        <v>60</v>
      </c>
      <c r="D21" s="19">
        <v>139095</v>
      </c>
      <c r="E21" s="15">
        <v>6414.9501909999999</v>
      </c>
      <c r="F21" s="19">
        <v>132783</v>
      </c>
      <c r="G21" s="15">
        <v>6166.0518979999997</v>
      </c>
      <c r="H21" s="19">
        <v>115241</v>
      </c>
      <c r="I21" s="15">
        <v>5460.6398529999997</v>
      </c>
      <c r="J21" s="19">
        <v>85845</v>
      </c>
      <c r="K21" s="24">
        <v>4036.8337489999999</v>
      </c>
    </row>
    <row r="22" spans="1:11" customFormat="1" ht="13.35" customHeight="1">
      <c r="A22" s="26"/>
      <c r="B22" s="27" t="s">
        <v>37</v>
      </c>
      <c r="C22" s="27" t="s">
        <v>61</v>
      </c>
      <c r="D22" s="19">
        <v>91856</v>
      </c>
      <c r="E22" s="15">
        <v>5491.7240330000004</v>
      </c>
      <c r="F22" s="19">
        <v>96203</v>
      </c>
      <c r="G22" s="15">
        <v>5622.4350569999997</v>
      </c>
      <c r="H22" s="19">
        <v>92907</v>
      </c>
      <c r="I22" s="15">
        <v>5331.6259220000002</v>
      </c>
      <c r="J22" s="19">
        <v>75407</v>
      </c>
      <c r="K22" s="24">
        <v>4247.0662350000002</v>
      </c>
    </row>
    <row r="23" spans="1:11" customFormat="1" ht="13.35" customHeight="1">
      <c r="A23" s="26"/>
      <c r="B23" s="27" t="s">
        <v>38</v>
      </c>
      <c r="C23" s="27" t="s">
        <v>62</v>
      </c>
      <c r="D23" s="19">
        <v>57188</v>
      </c>
      <c r="E23" s="15">
        <v>4051.99854</v>
      </c>
      <c r="F23" s="19">
        <v>65200</v>
      </c>
      <c r="G23" s="15">
        <v>4614.8927610000001</v>
      </c>
      <c r="H23" s="19">
        <v>61845</v>
      </c>
      <c r="I23" s="15">
        <v>4275.8705419999997</v>
      </c>
      <c r="J23" s="19">
        <v>53315</v>
      </c>
      <c r="K23" s="24">
        <v>3516.8484520000002</v>
      </c>
    </row>
    <row r="24" spans="1:11" customFormat="1" ht="13.35" customHeight="1">
      <c r="A24" s="26"/>
      <c r="B24" s="27" t="s">
        <v>39</v>
      </c>
      <c r="C24" s="27" t="s">
        <v>63</v>
      </c>
      <c r="D24" s="19">
        <v>60982</v>
      </c>
      <c r="E24" s="15">
        <v>4875.7810140000001</v>
      </c>
      <c r="F24" s="19">
        <v>74775</v>
      </c>
      <c r="G24" s="15">
        <v>6079.8083290000004</v>
      </c>
      <c r="H24" s="19">
        <v>79906</v>
      </c>
      <c r="I24" s="15">
        <v>6428.6168200000002</v>
      </c>
      <c r="J24" s="19">
        <v>72328</v>
      </c>
      <c r="K24" s="24">
        <v>5726.3080730000001</v>
      </c>
    </row>
    <row r="25" spans="1:11" customFormat="1" ht="13.35" customHeight="1">
      <c r="A25" s="26"/>
      <c r="B25" s="27" t="s">
        <v>40</v>
      </c>
      <c r="C25" s="27" t="s">
        <v>64</v>
      </c>
      <c r="D25" s="19">
        <v>20906</v>
      </c>
      <c r="E25" s="15">
        <v>1888.4936889999999</v>
      </c>
      <c r="F25" s="19">
        <v>26330</v>
      </c>
      <c r="G25" s="15">
        <v>2433.1834349999999</v>
      </c>
      <c r="H25" s="19">
        <v>27578</v>
      </c>
      <c r="I25" s="15">
        <v>2587.5373570000002</v>
      </c>
      <c r="J25" s="19">
        <v>26523</v>
      </c>
      <c r="K25" s="24">
        <v>2454.538059</v>
      </c>
    </row>
    <row r="26" spans="1:11" customFormat="1" ht="13.35" customHeight="1">
      <c r="A26" s="26"/>
      <c r="B26" s="27" t="s">
        <v>41</v>
      </c>
      <c r="C26" s="27" t="s">
        <v>65</v>
      </c>
      <c r="D26" s="19">
        <v>19615</v>
      </c>
      <c r="E26" s="15">
        <v>1978.5775149999999</v>
      </c>
      <c r="F26" s="19">
        <v>23931</v>
      </c>
      <c r="G26" s="15">
        <v>2508.9073589999998</v>
      </c>
      <c r="H26" s="19">
        <v>23724</v>
      </c>
      <c r="I26" s="15">
        <v>2573.949846</v>
      </c>
      <c r="J26" s="19">
        <v>23767</v>
      </c>
      <c r="K26" s="24">
        <v>2449.4075269999998</v>
      </c>
    </row>
    <row r="27" spans="1:11" customFormat="1" ht="13.35" customHeight="1">
      <c r="A27" s="26"/>
      <c r="B27" s="27" t="s">
        <v>42</v>
      </c>
      <c r="C27" s="27" t="s">
        <v>66</v>
      </c>
      <c r="D27" s="19">
        <v>5821</v>
      </c>
      <c r="E27" s="15">
        <v>681.68401600000004</v>
      </c>
      <c r="F27" s="19">
        <v>6429</v>
      </c>
      <c r="G27" s="15">
        <v>794.90473799999995</v>
      </c>
      <c r="H27" s="19">
        <v>5896</v>
      </c>
      <c r="I27" s="15">
        <v>742.54250400000001</v>
      </c>
      <c r="J27" s="19">
        <v>6201</v>
      </c>
      <c r="K27" s="24">
        <v>720.37603000000001</v>
      </c>
    </row>
    <row r="28" spans="1:11" customFormat="1" ht="13.35" customHeight="1">
      <c r="A28" s="26"/>
      <c r="B28" s="27" t="s">
        <v>43</v>
      </c>
      <c r="C28" s="27" t="s">
        <v>67</v>
      </c>
      <c r="D28" s="19">
        <v>1294</v>
      </c>
      <c r="E28" s="15">
        <v>185.93993900000001</v>
      </c>
      <c r="F28" s="19">
        <v>1167</v>
      </c>
      <c r="G28" s="15">
        <v>165.802224</v>
      </c>
      <c r="H28" s="19">
        <v>958</v>
      </c>
      <c r="I28" s="15">
        <v>137.96536599999999</v>
      </c>
      <c r="J28" s="19">
        <v>952</v>
      </c>
      <c r="K28" s="24">
        <v>132.929068</v>
      </c>
    </row>
    <row r="29" spans="1:11" customFormat="1" ht="13.35" customHeight="1">
      <c r="A29" s="88"/>
      <c r="B29" s="75" t="s">
        <v>9</v>
      </c>
      <c r="C29" s="89"/>
      <c r="D29" s="20">
        <f t="shared" ref="D29:K29" si="0">SUM(D4:D28)</f>
        <v>626650</v>
      </c>
      <c r="E29" s="18">
        <f t="shared" si="0"/>
        <v>32133.885602999999</v>
      </c>
      <c r="F29" s="20">
        <f t="shared" si="0"/>
        <v>628079</v>
      </c>
      <c r="G29" s="18">
        <f t="shared" si="0"/>
        <v>34253.26567999999</v>
      </c>
      <c r="H29" s="20">
        <f t="shared" si="0"/>
        <v>574113</v>
      </c>
      <c r="I29" s="18">
        <f t="shared" si="0"/>
        <v>32430.984124000002</v>
      </c>
      <c r="J29" s="20">
        <f t="shared" si="0"/>
        <v>458163</v>
      </c>
      <c r="K29" s="25">
        <f t="shared" si="0"/>
        <v>26658.272053000001</v>
      </c>
    </row>
    <row r="30" spans="1:11" s="1" customFormat="1" ht="13.35" customHeight="1"/>
    <row r="31" spans="1:11" customFormat="1" ht="13.35" customHeight="1">
      <c r="F31" s="560" t="s">
        <v>506</v>
      </c>
      <c r="H31" s="1"/>
    </row>
    <row r="32" spans="1:11" customFormat="1" ht="13.35" customHeight="1">
      <c r="H32" s="1"/>
    </row>
    <row r="33" spans="3:11" customFormat="1" ht="13.35" customHeight="1">
      <c r="C33" s="144" t="s">
        <v>267</v>
      </c>
      <c r="D33" s="99">
        <f>A2.5.1!D$4-A2.5.2!D29</f>
        <v>0</v>
      </c>
      <c r="E33" s="99">
        <f>A2.5.1!E$4-A2.5.2!E29</f>
        <v>0</v>
      </c>
      <c r="F33" s="99">
        <f>A2.5.1!F$4-A2.5.2!F29</f>
        <v>0</v>
      </c>
      <c r="G33" s="99">
        <f>A2.5.1!G$4-A2.5.2!G29</f>
        <v>0</v>
      </c>
      <c r="H33" s="99">
        <f>A2.5.1!H$4-A2.5.2!H29</f>
        <v>0</v>
      </c>
      <c r="I33" s="99">
        <f>A2.5.1!I$4-A2.5.2!I29</f>
        <v>0</v>
      </c>
      <c r="J33" s="99">
        <f>A2.5.1!J$4-A2.5.2!J29</f>
        <v>0</v>
      </c>
      <c r="K33" s="145">
        <f>A2.5.1!K$4-A2.5.2!K29</f>
        <v>0</v>
      </c>
    </row>
    <row r="34" spans="3:11" customFormat="1" ht="13.35" customHeight="1">
      <c r="H34" s="1"/>
    </row>
  </sheetData>
  <mergeCells count="2">
    <mergeCell ref="B3:C3"/>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sheetPr codeName="Sheet26"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21.7109375" style="2" customWidth="1"/>
    <col min="4" max="5" width="10.7109375" style="2" customWidth="1"/>
    <col min="6" max="6" width="10.7109375" style="14" customWidth="1"/>
    <col min="7" max="10" width="10.7109375" style="6" customWidth="1"/>
    <col min="11" max="11" width="9.85546875" style="6" customWidth="1"/>
    <col min="12" max="12" width="8.140625" style="10" customWidth="1"/>
    <col min="13" max="16384" width="9.140625" style="10"/>
  </cols>
  <sheetData>
    <row r="1" spans="1:11" s="8" customFormat="1" ht="15" customHeight="1">
      <c r="A1" s="455" t="s">
        <v>511</v>
      </c>
      <c r="B1" s="455"/>
      <c r="C1" s="455"/>
      <c r="D1" s="455"/>
      <c r="E1" s="455"/>
      <c r="F1" s="455"/>
      <c r="G1" s="455"/>
      <c r="H1" s="455"/>
      <c r="I1" s="455"/>
      <c r="J1" s="455"/>
      <c r="K1" s="455"/>
    </row>
    <row r="2" spans="1:11" s="8"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90</v>
      </c>
      <c r="F3" s="32" t="s">
        <v>18</v>
      </c>
      <c r="G3" s="134" t="s">
        <v>90</v>
      </c>
      <c r="H3" s="32" t="s">
        <v>18</v>
      </c>
      <c r="I3" s="134" t="s">
        <v>90</v>
      </c>
      <c r="J3" s="33" t="s">
        <v>18</v>
      </c>
      <c r="K3" s="86" t="s">
        <v>90</v>
      </c>
    </row>
    <row r="4" spans="1:11" ht="13.35" customHeight="1">
      <c r="A4" s="49"/>
      <c r="B4" s="16" t="s">
        <v>19</v>
      </c>
      <c r="C4" s="16" t="s">
        <v>44</v>
      </c>
      <c r="D4" s="62">
        <f>A2.5.2!D4/A2.5.2!D$29</f>
        <v>2.4463416580228197E-3</v>
      </c>
      <c r="E4" s="58">
        <f>A2.5.2!E4/A2.5.2!E$29</f>
        <v>1.9017584351608799E-3</v>
      </c>
      <c r="F4" s="62">
        <f>A2.5.2!F4/A2.5.2!F$29</f>
        <v>2.5983992459547287E-3</v>
      </c>
      <c r="G4" s="58">
        <f>A2.5.2!G4/A2.5.2!G$29</f>
        <v>1.9920900283631007E-3</v>
      </c>
      <c r="H4" s="62">
        <f>A2.5.2!H4/A2.5.2!H$29</f>
        <v>2.3653879985299059E-3</v>
      </c>
      <c r="I4" s="58">
        <f>A2.5.2!I4/A2.5.2!I$29</f>
        <v>1.7600078918900215E-3</v>
      </c>
      <c r="J4" s="62">
        <f>A2.5.2!J4/A2.5.2!J$29</f>
        <v>2.0604020839744808E-3</v>
      </c>
      <c r="K4" s="59">
        <f>A2.5.2!K4/A2.5.2!K$29</f>
        <v>1.4575689648132048E-3</v>
      </c>
    </row>
    <row r="5" spans="1:11" ht="13.35" customHeight="1">
      <c r="A5" s="49"/>
      <c r="B5" s="16" t="s">
        <v>20</v>
      </c>
      <c r="C5" s="50" t="s">
        <v>137</v>
      </c>
      <c r="D5" s="62">
        <f>A2.5.2!D5/A2.5.2!D$29</f>
        <v>6.0639910635921169E-5</v>
      </c>
      <c r="E5" s="58">
        <f>A2.5.2!E5/A2.5.2!E$29</f>
        <v>4.5326606872093309E-5</v>
      </c>
      <c r="F5" s="62">
        <f>A2.5.2!F5/A2.5.2!F$29</f>
        <v>1.0508232244669858E-4</v>
      </c>
      <c r="G5" s="58">
        <f>A2.5.2!G5/A2.5.2!G$29</f>
        <v>8.223110830698467E-5</v>
      </c>
      <c r="H5" s="62">
        <f>A2.5.2!H5/A2.5.2!H$29</f>
        <v>1.4457084232546554E-4</v>
      </c>
      <c r="I5" s="58">
        <f>A2.5.2!I5/A2.5.2!I$29</f>
        <v>1.2094165829205904E-4</v>
      </c>
      <c r="J5" s="62">
        <f>A2.5.2!J5/A2.5.2!J$29</f>
        <v>1.9643663936197379E-4</v>
      </c>
      <c r="K5" s="59">
        <f>A2.5.2!K5/A2.5.2!K$29</f>
        <v>1.7974522093830775E-4</v>
      </c>
    </row>
    <row r="6" spans="1:11" ht="13.35" customHeight="1">
      <c r="A6" s="49"/>
      <c r="B6" s="16" t="s">
        <v>21</v>
      </c>
      <c r="C6" s="16" t="s">
        <v>45</v>
      </c>
      <c r="D6" s="62">
        <f>A2.5.2!D6/A2.5.2!D$29</f>
        <v>5.3778026011330089E-3</v>
      </c>
      <c r="E6" s="58">
        <f>A2.5.2!E6/A2.5.2!E$29</f>
        <v>9.0044077947730905E-4</v>
      </c>
      <c r="F6" s="62">
        <f>A2.5.2!F6/A2.5.2!F$29</f>
        <v>4.7414417613070971E-3</v>
      </c>
      <c r="G6" s="58">
        <f>A2.5.2!G6/A2.5.2!G$29</f>
        <v>8.6606842912853642E-4</v>
      </c>
      <c r="H6" s="62">
        <f>A2.5.2!H6/A2.5.2!H$29</f>
        <v>5.2446121233973107E-3</v>
      </c>
      <c r="I6" s="58">
        <f>A2.5.2!I6/A2.5.2!I$29</f>
        <v>7.466558186274791E-4</v>
      </c>
      <c r="J6" s="62">
        <f>A2.5.2!J6/A2.5.2!J$29</f>
        <v>4.2539445568498544E-3</v>
      </c>
      <c r="K6" s="59">
        <f>A2.5.2!K6/A2.5.2!K$29</f>
        <v>5.5405706606320823E-4</v>
      </c>
    </row>
    <row r="7" spans="1:11" ht="13.35" customHeight="1">
      <c r="A7" s="49"/>
      <c r="B7" s="16" t="s">
        <v>22</v>
      </c>
      <c r="C7" s="16" t="s">
        <v>46</v>
      </c>
      <c r="D7" s="62">
        <f>A2.5.2!D7/A2.5.2!D$29</f>
        <v>4.6581026091119448E-3</v>
      </c>
      <c r="E7" s="58">
        <f>A2.5.2!E7/A2.5.2!E$29</f>
        <v>9.4951305848774983E-4</v>
      </c>
      <c r="F7" s="62">
        <f>A2.5.2!F7/A2.5.2!F$29</f>
        <v>4.0615909782049714E-3</v>
      </c>
      <c r="G7" s="58">
        <f>A2.5.2!G7/A2.5.2!G$29</f>
        <v>8.2990919071982653E-4</v>
      </c>
      <c r="H7" s="62">
        <f>A2.5.2!H7/A2.5.2!H$29</f>
        <v>4.2134562359674834E-3</v>
      </c>
      <c r="I7" s="58">
        <f>A2.5.2!I7/A2.5.2!I$29</f>
        <v>7.6129265475261899E-4</v>
      </c>
      <c r="J7" s="62">
        <f>A2.5.2!J7/A2.5.2!J$29</f>
        <v>3.3459707571322872E-3</v>
      </c>
      <c r="K7" s="59">
        <f>A2.5.2!K7/A2.5.2!K$29</f>
        <v>5.2950682519617692E-4</v>
      </c>
    </row>
    <row r="8" spans="1:11" ht="13.35" customHeight="1">
      <c r="A8" s="49"/>
      <c r="B8" s="16" t="s">
        <v>23</v>
      </c>
      <c r="C8" s="16" t="s">
        <v>47</v>
      </c>
      <c r="D8" s="62">
        <f>A2.5.2!D8/A2.5.2!D$29</f>
        <v>7.1762546876246707E-3</v>
      </c>
      <c r="E8" s="58">
        <f>A2.5.2!E8/A2.5.2!E$29</f>
        <v>1.8611256584051767E-3</v>
      </c>
      <c r="F8" s="62">
        <f>A2.5.2!F8/A2.5.2!F$29</f>
        <v>6.2587668111813962E-3</v>
      </c>
      <c r="G8" s="58">
        <f>A2.5.2!G8/A2.5.2!G$29</f>
        <v>1.5468931194767184E-3</v>
      </c>
      <c r="H8" s="62">
        <f>A2.5.2!H8/A2.5.2!H$29</f>
        <v>6.1259717163694256E-3</v>
      </c>
      <c r="I8" s="58">
        <f>A2.5.2!I8/A2.5.2!I$29</f>
        <v>1.1719915699959348E-3</v>
      </c>
      <c r="J8" s="62">
        <f>A2.5.2!J8/A2.5.2!J$29</f>
        <v>5.2732324522058744E-3</v>
      </c>
      <c r="K8" s="59">
        <f>A2.5.2!K8/A2.5.2!K$29</f>
        <v>8.6825451229481459E-4</v>
      </c>
    </row>
    <row r="9" spans="1:11" ht="13.35" customHeight="1">
      <c r="A9" s="49"/>
      <c r="B9" s="16" t="s">
        <v>24</v>
      </c>
      <c r="C9" s="16" t="s">
        <v>48</v>
      </c>
      <c r="D9" s="62">
        <f>A2.5.2!D9/A2.5.2!D$29</f>
        <v>1.0182717625468763E-2</v>
      </c>
      <c r="E9" s="58">
        <f>A2.5.2!E9/A2.5.2!E$29</f>
        <v>3.2231799253785377E-3</v>
      </c>
      <c r="F9" s="62">
        <f>A2.5.2!F9/A2.5.2!F$29</f>
        <v>9.0147895408061729E-3</v>
      </c>
      <c r="G9" s="58">
        <f>A2.5.2!G9/A2.5.2!G$29</f>
        <v>2.8421252417062974E-3</v>
      </c>
      <c r="H9" s="62">
        <f>A2.5.2!H9/A2.5.2!H$29</f>
        <v>7.2738293680860737E-3</v>
      </c>
      <c r="I9" s="58">
        <f>A2.5.2!I9/A2.5.2!I$29</f>
        <v>1.9540924431306964E-3</v>
      </c>
      <c r="J9" s="62">
        <f>A2.5.2!J9/A2.5.2!J$29</f>
        <v>6.2619635369944755E-3</v>
      </c>
      <c r="K9" s="59">
        <f>A2.5.2!K9/A2.5.2!K$29</f>
        <v>1.4482267238943314E-3</v>
      </c>
    </row>
    <row r="10" spans="1:11" s="51" customFormat="1" ht="13.35" customHeight="1">
      <c r="A10" s="49"/>
      <c r="B10" s="16" t="s">
        <v>25</v>
      </c>
      <c r="C10" s="16" t="s">
        <v>49</v>
      </c>
      <c r="D10" s="62">
        <f>A2.5.2!D10/A2.5.2!D$29</f>
        <v>1.1848719380834597E-2</v>
      </c>
      <c r="E10" s="58">
        <f>A2.5.2!E10/A2.5.2!E$29</f>
        <v>4.0842735180381421E-3</v>
      </c>
      <c r="F10" s="62">
        <f>A2.5.2!F10/A2.5.2!F$29</f>
        <v>1.0384044045414669E-2</v>
      </c>
      <c r="G10" s="58">
        <f>A2.5.2!G10/A2.5.2!G$29</f>
        <v>3.4395138583469521E-3</v>
      </c>
      <c r="H10" s="62">
        <f>A2.5.2!H10/A2.5.2!H$29</f>
        <v>1.0691275062574789E-2</v>
      </c>
      <c r="I10" s="58">
        <f>A2.5.2!I10/A2.5.2!I$29</f>
        <v>3.3794629413941494E-3</v>
      </c>
      <c r="J10" s="62">
        <f>A2.5.2!J10/A2.5.2!J$29</f>
        <v>8.6235684679906496E-3</v>
      </c>
      <c r="K10" s="59">
        <f>A2.5.2!K10/A2.5.2!K$29</f>
        <v>2.6355503410091935E-3</v>
      </c>
    </row>
    <row r="11" spans="1:11" s="1" customFormat="1" ht="13.35" customHeight="1">
      <c r="A11" s="26"/>
      <c r="B11" s="16" t="s">
        <v>26</v>
      </c>
      <c r="C11" s="16" t="s">
        <v>50</v>
      </c>
      <c r="D11" s="62">
        <f>A2.5.2!D11/A2.5.2!D$29</f>
        <v>1.4839224447458709E-2</v>
      </c>
      <c r="E11" s="58">
        <f>A2.5.2!E11/A2.5.2!E$29</f>
        <v>5.5230926689871186E-3</v>
      </c>
      <c r="F11" s="62">
        <f>A2.5.2!F11/A2.5.2!F$29</f>
        <v>1.255733753238048E-2</v>
      </c>
      <c r="G11" s="58">
        <f>A2.5.2!G11/A2.5.2!G$29</f>
        <v>4.3315670507478466E-3</v>
      </c>
      <c r="H11" s="62">
        <f>A2.5.2!H11/A2.5.2!H$29</f>
        <v>1.1440256534863346E-2</v>
      </c>
      <c r="I11" s="58">
        <f>A2.5.2!I11/A2.5.2!I$29</f>
        <v>3.9420561679900006E-3</v>
      </c>
      <c r="J11" s="62">
        <f>A2.5.2!J11/A2.5.2!J$29</f>
        <v>9.7476225710063889E-3</v>
      </c>
      <c r="K11" s="59">
        <f>A2.5.2!K11/A2.5.2!K$29</f>
        <v>3.1121090982588152E-3</v>
      </c>
    </row>
    <row r="12" spans="1:11" s="1" customFormat="1" ht="13.35" customHeight="1">
      <c r="A12" s="26"/>
      <c r="B12" s="16" t="s">
        <v>27</v>
      </c>
      <c r="C12" s="16" t="s">
        <v>51</v>
      </c>
      <c r="D12" s="62">
        <f>A2.5.2!D12/A2.5.2!D$29</f>
        <v>1.7189818878161654E-2</v>
      </c>
      <c r="E12" s="58">
        <f>A2.5.2!E12/A2.5.2!E$29</f>
        <v>6.9057029000963053E-3</v>
      </c>
      <c r="F12" s="62">
        <f>A2.5.2!F12/A2.5.2!F$29</f>
        <v>1.4848450592998651E-2</v>
      </c>
      <c r="G12" s="58">
        <f>A2.5.2!G12/A2.5.2!G$29</f>
        <v>5.5923383127771909E-3</v>
      </c>
      <c r="H12" s="62">
        <f>A2.5.2!H12/A2.5.2!H$29</f>
        <v>1.3135044843088382E-2</v>
      </c>
      <c r="I12" s="58">
        <f>A2.5.2!I12/A2.5.2!I$29</f>
        <v>4.7348110502254091E-3</v>
      </c>
      <c r="J12" s="62">
        <f>A2.5.2!J12/A2.5.2!J$29</f>
        <v>1.0869494044695883E-2</v>
      </c>
      <c r="K12" s="59">
        <f>A2.5.2!K12/A2.5.2!K$29</f>
        <v>3.8817024897288832E-3</v>
      </c>
    </row>
    <row r="13" spans="1:11" s="1" customFormat="1" ht="13.35" customHeight="1">
      <c r="A13" s="26"/>
      <c r="B13" s="27" t="s">
        <v>28</v>
      </c>
      <c r="C13" s="27" t="s">
        <v>52</v>
      </c>
      <c r="D13" s="62">
        <f>A2.5.2!D13/A2.5.2!D$29</f>
        <v>1.8989866751775313E-2</v>
      </c>
      <c r="E13" s="58">
        <f>A2.5.2!E13/A2.5.2!E$29</f>
        <v>8.3452070288992496E-3</v>
      </c>
      <c r="F13" s="62">
        <f>A2.5.2!F13/A2.5.2!F$29</f>
        <v>1.6518622657340876E-2</v>
      </c>
      <c r="G13" s="58">
        <f>A2.5.2!G13/A2.5.2!G$29</f>
        <v>6.7424432215480385E-3</v>
      </c>
      <c r="H13" s="62">
        <f>A2.5.2!H13/A2.5.2!H$29</f>
        <v>1.4086077131157107E-2</v>
      </c>
      <c r="I13" s="58">
        <f>A2.5.2!I13/A2.5.2!I$29</f>
        <v>5.6894649047499251E-3</v>
      </c>
      <c r="J13" s="62">
        <f>A2.5.2!J13/A2.5.2!J$29</f>
        <v>1.1993548147711622E-2</v>
      </c>
      <c r="K13" s="59">
        <f>A2.5.2!K13/A2.5.2!K$29</f>
        <v>4.6526884320711977E-3</v>
      </c>
    </row>
    <row r="14" spans="1:11" s="1" customFormat="1" ht="13.35" customHeight="1">
      <c r="A14" s="26"/>
      <c r="B14" s="27" t="s">
        <v>29</v>
      </c>
      <c r="C14" s="27" t="s">
        <v>53</v>
      </c>
      <c r="D14" s="62">
        <f>A2.5.2!D14/A2.5.2!D$29</f>
        <v>2.0914386020904813E-2</v>
      </c>
      <c r="E14" s="58">
        <f>A2.5.2!E14/A2.5.2!E$29</f>
        <v>9.9594751768868426E-3</v>
      </c>
      <c r="F14" s="62">
        <f>A2.5.2!F14/A2.5.2!F$29</f>
        <v>1.7631539981435455E-2</v>
      </c>
      <c r="G14" s="58">
        <f>A2.5.2!G14/A2.5.2!G$29</f>
        <v>7.8135533265743812E-3</v>
      </c>
      <c r="H14" s="62">
        <f>A2.5.2!H14/A2.5.2!H$29</f>
        <v>1.5665905492472737E-2</v>
      </c>
      <c r="I14" s="58">
        <f>A2.5.2!I14/A2.5.2!I$29</f>
        <v>6.8982498694648607E-3</v>
      </c>
      <c r="J14" s="62">
        <f>A2.5.2!J14/A2.5.2!J$29</f>
        <v>1.2995375008457689E-2</v>
      </c>
      <c r="K14" s="59">
        <f>A2.5.2!K14/A2.5.2!K$29</f>
        <v>5.5136843718818209E-3</v>
      </c>
    </row>
    <row r="15" spans="1:11" customFormat="1" ht="13.35" customHeight="1">
      <c r="A15" s="26"/>
      <c r="B15" s="27" t="s">
        <v>30</v>
      </c>
      <c r="C15" s="27" t="s">
        <v>54</v>
      </c>
      <c r="D15" s="62">
        <f>A2.5.2!D15/A2.5.2!D$29</f>
        <v>2.2567621479294663E-2</v>
      </c>
      <c r="E15" s="58">
        <f>A2.5.2!E15/A2.5.2!E$29</f>
        <v>1.1332480967256652E-2</v>
      </c>
      <c r="F15" s="62">
        <f>A2.5.2!F15/A2.5.2!F$29</f>
        <v>1.881292003076046E-2</v>
      </c>
      <c r="G15" s="58">
        <f>A2.5.2!G15/A2.5.2!G$29</f>
        <v>8.8825979059173939E-3</v>
      </c>
      <c r="H15" s="62">
        <f>A2.5.2!H15/A2.5.2!H$29</f>
        <v>1.6907821282569808E-2</v>
      </c>
      <c r="I15" s="58">
        <f>A2.5.2!I15/A2.5.2!I$29</f>
        <v>8.0197034109590008E-3</v>
      </c>
      <c r="J15" s="62">
        <f>A2.5.2!J15/A2.5.2!J$29</f>
        <v>1.3811678376473001E-2</v>
      </c>
      <c r="K15" s="59">
        <f>A2.5.2!K15/A2.5.2!K$29</f>
        <v>6.5057625136090815E-3</v>
      </c>
    </row>
    <row r="16" spans="1:11" customFormat="1" ht="13.35" customHeight="1">
      <c r="A16" s="26"/>
      <c r="B16" s="27" t="s">
        <v>31</v>
      </c>
      <c r="C16" s="27" t="s">
        <v>55</v>
      </c>
      <c r="D16" s="62">
        <f>A2.5.2!D16/A2.5.2!D$29</f>
        <v>2.4426713476422245E-2</v>
      </c>
      <c r="E16" s="58">
        <f>A2.5.2!E16/A2.5.2!E$29</f>
        <v>1.3026796110860607E-2</v>
      </c>
      <c r="F16" s="62">
        <f>A2.5.2!F16/A2.5.2!F$29</f>
        <v>2.0554739133134527E-2</v>
      </c>
      <c r="G16" s="58">
        <f>A2.5.2!G16/A2.5.2!G$29</f>
        <v>1.0581944138880719E-2</v>
      </c>
      <c r="H16" s="62">
        <f>A2.5.2!H16/A2.5.2!H$29</f>
        <v>1.7613257320422984E-2</v>
      </c>
      <c r="I16" s="58">
        <f>A2.5.2!I16/A2.5.2!I$29</f>
        <v>8.8784178395288956E-3</v>
      </c>
      <c r="J16" s="62">
        <f>A2.5.2!J16/A2.5.2!J$29</f>
        <v>1.5230387438531702E-2</v>
      </c>
      <c r="K16" s="59">
        <f>A2.5.2!K16/A2.5.2!K$29</f>
        <v>7.59961694430983E-3</v>
      </c>
    </row>
    <row r="17" spans="1:11" customFormat="1" ht="13.35" customHeight="1">
      <c r="A17" s="26"/>
      <c r="B17" s="27" t="s">
        <v>32</v>
      </c>
      <c r="C17" s="27" t="s">
        <v>56</v>
      </c>
      <c r="D17" s="62">
        <f>A2.5.2!D17/A2.5.2!D$29</f>
        <v>2.5371419452645018E-2</v>
      </c>
      <c r="E17" s="58">
        <f>A2.5.2!E17/A2.5.2!E$29</f>
        <v>1.4230222004565467E-2</v>
      </c>
      <c r="F17" s="62">
        <f>A2.5.2!F17/A2.5.2!F$29</f>
        <v>2.1809358376892077E-2</v>
      </c>
      <c r="G17" s="58">
        <f>A2.5.2!G17/A2.5.2!G$29</f>
        <v>1.1641876477571528E-2</v>
      </c>
      <c r="H17" s="62">
        <f>A2.5.2!H17/A2.5.2!H$29</f>
        <v>1.8757631337384801E-2</v>
      </c>
      <c r="I17" s="58">
        <f>A2.5.2!I17/A2.5.2!I$29</f>
        <v>9.943730192305527E-3</v>
      </c>
      <c r="J17" s="62">
        <f>A2.5.2!J17/A2.5.2!J$29</f>
        <v>1.5736757442220344E-2</v>
      </c>
      <c r="K17" s="59">
        <f>A2.5.2!K17/A2.5.2!K$29</f>
        <v>8.1644750855300301E-3</v>
      </c>
    </row>
    <row r="18" spans="1:11" customFormat="1" ht="13.35" customHeight="1">
      <c r="A18" s="26"/>
      <c r="B18" s="27" t="s">
        <v>33</v>
      </c>
      <c r="C18" s="27" t="s">
        <v>57</v>
      </c>
      <c r="D18" s="62">
        <f>A2.5.2!D18/A2.5.2!D$29</f>
        <v>2.5899624990026331E-2</v>
      </c>
      <c r="E18" s="58">
        <f>A2.5.2!E18/A2.5.2!E$29</f>
        <v>1.5338096521821989E-2</v>
      </c>
      <c r="F18" s="62">
        <f>A2.5.2!F18/A2.5.2!F$29</f>
        <v>2.2013154396182646E-2</v>
      </c>
      <c r="G18" s="58">
        <f>A2.5.2!G18/A2.5.2!G$29</f>
        <v>1.2473437539985243E-2</v>
      </c>
      <c r="H18" s="62">
        <f>A2.5.2!H18/A2.5.2!H$29</f>
        <v>1.964073274773433E-2</v>
      </c>
      <c r="I18" s="58">
        <f>A2.5.2!I18/A2.5.2!I$29</f>
        <v>1.10788191510386E-2</v>
      </c>
      <c r="J18" s="62">
        <f>A2.5.2!J18/A2.5.2!J$29</f>
        <v>1.6684018569810308E-2</v>
      </c>
      <c r="K18" s="59">
        <f>A2.5.2!K18/A2.5.2!K$29</f>
        <v>9.1925275393992551E-3</v>
      </c>
    </row>
    <row r="19" spans="1:11" customFormat="1" ht="13.35" customHeight="1">
      <c r="A19" s="26"/>
      <c r="B19" s="27" t="s">
        <v>34</v>
      </c>
      <c r="C19" s="27" t="s">
        <v>58</v>
      </c>
      <c r="D19" s="62">
        <f>A2.5.2!D19/A2.5.2!D$29</f>
        <v>2.5990584855980211E-2</v>
      </c>
      <c r="E19" s="58">
        <f>A2.5.2!E19/A2.5.2!E$29</f>
        <v>1.6140717042683998E-2</v>
      </c>
      <c r="F19" s="62">
        <f>A2.5.2!F19/A2.5.2!F$29</f>
        <v>2.2591107169639489E-2</v>
      </c>
      <c r="G19" s="58">
        <f>A2.5.2!G19/A2.5.2!G$29</f>
        <v>1.3398456873791431E-2</v>
      </c>
      <c r="H19" s="62">
        <f>A2.5.2!H19/A2.5.2!H$29</f>
        <v>2.0238176108187761E-2</v>
      </c>
      <c r="I19" s="58">
        <f>A2.5.2!I19/A2.5.2!I$29</f>
        <v>1.1776884060615193E-2</v>
      </c>
      <c r="J19" s="62">
        <f>A2.5.2!J19/A2.5.2!J$29</f>
        <v>1.7533061377719282E-2</v>
      </c>
      <c r="K19" s="59">
        <f>A2.5.2!K19/A2.5.2!K$29</f>
        <v>1.0233135420692078E-2</v>
      </c>
    </row>
    <row r="20" spans="1:11" customFormat="1" ht="13.35" customHeight="1">
      <c r="A20" s="26"/>
      <c r="B20" s="27" t="s">
        <v>35</v>
      </c>
      <c r="C20" s="87" t="s">
        <v>59</v>
      </c>
      <c r="D20" s="62">
        <f>A2.5.2!D20/A2.5.2!D$29</f>
        <v>0.12892045001196839</v>
      </c>
      <c r="E20" s="58">
        <f>A2.5.2!E20/A2.5.2!E$29</f>
        <v>9.0525864656978261E-2</v>
      </c>
      <c r="F20" s="62">
        <f>A2.5.2!F20/A2.5.2!F$29</f>
        <v>0.11593764478672269</v>
      </c>
      <c r="G20" s="58">
        <f>A2.5.2!G20/A2.5.2!G$29</f>
        <v>7.8234063579073046E-2</v>
      </c>
      <c r="H20" s="62">
        <f>A2.5.2!H20/A2.5.2!H$29</f>
        <v>0.10569870391368946</v>
      </c>
      <c r="I20" s="58">
        <f>A2.5.2!I20/A2.5.2!I$29</f>
        <v>6.999409547119298E-2</v>
      </c>
      <c r="J20" s="62">
        <f>A2.5.2!J20/A2.5.2!J$29</f>
        <v>9.3820321588604927E-2</v>
      </c>
      <c r="K20" s="59">
        <f>A2.5.2!K20/A2.5.2!K$29</f>
        <v>6.0034912646181632E-2</v>
      </c>
    </row>
    <row r="21" spans="1:11" customFormat="1" ht="13.35" customHeight="1">
      <c r="A21" s="26"/>
      <c r="B21" s="27" t="s">
        <v>36</v>
      </c>
      <c r="C21" s="27" t="s">
        <v>60</v>
      </c>
      <c r="D21" s="62">
        <f>A2.5.2!D21/A2.5.2!D$29</f>
        <v>0.22196600973430144</v>
      </c>
      <c r="E21" s="58">
        <f>A2.5.2!E21/A2.5.2!E$29</f>
        <v>0.199631948350532</v>
      </c>
      <c r="F21" s="62">
        <f>A2.5.2!F21/A2.5.2!F$29</f>
        <v>0.21141130335515118</v>
      </c>
      <c r="G21" s="58">
        <f>A2.5.2!G21/A2.5.2!G$29</f>
        <v>0.18001354836074135</v>
      </c>
      <c r="H21" s="62">
        <f>A2.5.2!H21/A2.5.2!H$29</f>
        <v>0.20072877639071054</v>
      </c>
      <c r="I21" s="58">
        <f>A2.5.2!I21/A2.5.2!I$29</f>
        <v>0.1683772478849615</v>
      </c>
      <c r="J21" s="62">
        <f>A2.5.2!J21/A2.5.2!J$29</f>
        <v>0.18736781451142934</v>
      </c>
      <c r="K21" s="59">
        <f>A2.5.2!K21/A2.5.2!K$29</f>
        <v>0.15142893511530928</v>
      </c>
    </row>
    <row r="22" spans="1:11" customFormat="1" ht="13.35" customHeight="1">
      <c r="A22" s="26"/>
      <c r="B22" s="27" t="s">
        <v>37</v>
      </c>
      <c r="C22" s="27" t="s">
        <v>61</v>
      </c>
      <c r="D22" s="62">
        <f>A2.5.2!D22/A2.5.2!D$29</f>
        <v>0.14658262187824145</v>
      </c>
      <c r="E22" s="58">
        <f>A2.5.2!E22/A2.5.2!E$29</f>
        <v>0.17090133763615867</v>
      </c>
      <c r="F22" s="62">
        <f>A2.5.2!F22/A2.5.2!F$29</f>
        <v>0.15317022221726884</v>
      </c>
      <c r="G22" s="58">
        <f>A2.5.2!G22/A2.5.2!G$29</f>
        <v>0.16414303703260802</v>
      </c>
      <c r="H22" s="62">
        <f>A2.5.2!H22/A2.5.2!H$29</f>
        <v>0.1618270270835184</v>
      </c>
      <c r="I22" s="58">
        <f>A2.5.2!I22/A2.5.2!I$29</f>
        <v>0.16439914069873754</v>
      </c>
      <c r="J22" s="62">
        <f>A2.5.2!J22/A2.5.2!J$29</f>
        <v>0.16458552960409287</v>
      </c>
      <c r="K22" s="59">
        <f>A2.5.2!K22/A2.5.2!K$29</f>
        <v>0.1593151359006427</v>
      </c>
    </row>
    <row r="23" spans="1:11" customFormat="1" ht="13.35" customHeight="1">
      <c r="A23" s="26"/>
      <c r="B23" s="27" t="s">
        <v>38</v>
      </c>
      <c r="C23" s="27" t="s">
        <v>62</v>
      </c>
      <c r="D23" s="62">
        <f>A2.5.2!D23/A2.5.2!D$29</f>
        <v>9.1259873932817356E-2</v>
      </c>
      <c r="E23" s="58">
        <f>A2.5.2!E23/A2.5.2!E$29</f>
        <v>0.12609737241429989</v>
      </c>
      <c r="F23" s="62">
        <f>A2.5.2!F23/A2.5.2!F$29</f>
        <v>0.10380859732613254</v>
      </c>
      <c r="G23" s="58">
        <f>A2.5.2!G23/A2.5.2!G$29</f>
        <v>0.13472854834085418</v>
      </c>
      <c r="H23" s="62">
        <f>A2.5.2!H23/A2.5.2!H$29</f>
        <v>0.10772269570624599</v>
      </c>
      <c r="I23" s="58">
        <f>A2.5.2!I23/A2.5.2!I$29</f>
        <v>0.1318452294155241</v>
      </c>
      <c r="J23" s="62">
        <f>A2.5.2!J23/A2.5.2!J$29</f>
        <v>0.11636688252870703</v>
      </c>
      <c r="K23" s="59">
        <f>A2.5.2!K23/A2.5.2!K$29</f>
        <v>0.13192334615717263</v>
      </c>
    </row>
    <row r="24" spans="1:11" customFormat="1" ht="13.35" customHeight="1">
      <c r="A24" s="26"/>
      <c r="B24" s="27" t="s">
        <v>39</v>
      </c>
      <c r="C24" s="27" t="s">
        <v>63</v>
      </c>
      <c r="D24" s="62">
        <f>A2.5.2!D24/A2.5.2!D$29</f>
        <v>9.7314290273677495E-2</v>
      </c>
      <c r="E24" s="58">
        <f>A2.5.2!E24/A2.5.2!E$29</f>
        <v>0.15173331585971664</v>
      </c>
      <c r="F24" s="62">
        <f>A2.5.2!F24/A2.5.2!F$29</f>
        <v>0.11905349486290737</v>
      </c>
      <c r="G24" s="58">
        <f>A2.5.2!G24/A2.5.2!G$29</f>
        <v>0.17749572802192454</v>
      </c>
      <c r="H24" s="62">
        <f>A2.5.2!H24/A2.5.2!H$29</f>
        <v>0.13918165935974278</v>
      </c>
      <c r="I24" s="58">
        <f>A2.5.2!I24/A2.5.2!I$29</f>
        <v>0.19822453723328767</v>
      </c>
      <c r="J24" s="62">
        <f>A2.5.2!J24/A2.5.2!J$29</f>
        <v>0.15786521390858713</v>
      </c>
      <c r="K24" s="59">
        <f>A2.5.2!K24/A2.5.2!K$29</f>
        <v>0.21480417266413138</v>
      </c>
    </row>
    <row r="25" spans="1:11" customFormat="1" ht="13.35" customHeight="1">
      <c r="A25" s="26"/>
      <c r="B25" s="27" t="s">
        <v>40</v>
      </c>
      <c r="C25" s="27" t="s">
        <v>64</v>
      </c>
      <c r="D25" s="62">
        <f>A2.5.2!D25/A2.5.2!D$29</f>
        <v>3.3361525572488629E-2</v>
      </c>
      <c r="E25" s="58">
        <f>A2.5.2!E25/A2.5.2!E$29</f>
        <v>5.8769540426312196E-2</v>
      </c>
      <c r="F25" s="62">
        <f>A2.5.2!F25/A2.5.2!F$29</f>
        <v>4.1921478030629906E-2</v>
      </c>
      <c r="G25" s="58">
        <f>A2.5.2!G25/A2.5.2!G$29</f>
        <v>7.1035079041257734E-2</v>
      </c>
      <c r="H25" s="62">
        <f>A2.5.2!H25/A2.5.2!H$29</f>
        <v>4.8035839634357695E-2</v>
      </c>
      <c r="I25" s="58">
        <f>A2.5.2!I25/A2.5.2!I$29</f>
        <v>7.9785964776971932E-2</v>
      </c>
      <c r="J25" s="62">
        <f>A2.5.2!J25/A2.5.2!J$29</f>
        <v>5.7889877619973676E-2</v>
      </c>
      <c r="K25" s="59">
        <f>A2.5.2!K25/A2.5.2!K$29</f>
        <v>9.2074161975692542E-2</v>
      </c>
    </row>
    <row r="26" spans="1:11" customFormat="1" ht="13.35" customHeight="1">
      <c r="A26" s="26"/>
      <c r="B26" s="27" t="s">
        <v>41</v>
      </c>
      <c r="C26" s="27" t="s">
        <v>65</v>
      </c>
      <c r="D26" s="62">
        <f>A2.5.2!D26/A2.5.2!D$29</f>
        <v>3.1301364397989306E-2</v>
      </c>
      <c r="E26" s="58">
        <f>A2.5.2!E26/A2.5.2!E$29</f>
        <v>6.1572930813423986E-2</v>
      </c>
      <c r="F26" s="62">
        <f>A2.5.2!F26/A2.5.2!F$29</f>
        <v>3.810189482533248E-2</v>
      </c>
      <c r="G26" s="58">
        <f>A2.5.2!G26/A2.5.2!G$29</f>
        <v>7.3245785743136199E-2</v>
      </c>
      <c r="H26" s="62">
        <f>A2.5.2!H26/A2.5.2!H$29</f>
        <v>4.132287546179933E-2</v>
      </c>
      <c r="I26" s="58">
        <f>A2.5.2!I26/A2.5.2!I$29</f>
        <v>7.9366997811675777E-2</v>
      </c>
      <c r="J26" s="62">
        <f>A2.5.2!J26/A2.5.2!J$29</f>
        <v>5.1874551196844788E-2</v>
      </c>
      <c r="K26" s="59">
        <f>A2.5.2!K26/A2.5.2!K$29</f>
        <v>9.1881706441072755E-2</v>
      </c>
    </row>
    <row r="27" spans="1:11" customFormat="1" ht="13.35" customHeight="1">
      <c r="A27" s="26"/>
      <c r="B27" s="27" t="s">
        <v>42</v>
      </c>
      <c r="C27" s="27" t="s">
        <v>66</v>
      </c>
      <c r="D27" s="62">
        <f>A2.5.2!D27/A2.5.2!D$29</f>
        <v>9.2890768371499243E-3</v>
      </c>
      <c r="E27" s="58">
        <f>A2.5.2!E27/A2.5.2!E$29</f>
        <v>2.1213868264233767E-2</v>
      </c>
      <c r="F27" s="62">
        <f>A2.5.2!F27/A2.5.2!F$29</f>
        <v>1.0235973500148867E-2</v>
      </c>
      <c r="G27" s="58">
        <f>A2.5.2!G27/A2.5.2!G$29</f>
        <v>2.3206684741424052E-2</v>
      </c>
      <c r="H27" s="62">
        <f>A2.5.2!H27/A2.5.2!H$29</f>
        <v>1.0269755257240299E-2</v>
      </c>
      <c r="I27" s="58">
        <f>A2.5.2!I27/A2.5.2!I$29</f>
        <v>2.2896082991527043E-2</v>
      </c>
      <c r="J27" s="62">
        <f>A2.5.2!J27/A2.5.2!J$29</f>
        <v>1.3534484452039995E-2</v>
      </c>
      <c r="K27" s="59">
        <f>A2.5.2!K27/A2.5.2!K$29</f>
        <v>2.7022607788224299E-2</v>
      </c>
    </row>
    <row r="28" spans="1:11" customFormat="1" ht="13.35" customHeight="1">
      <c r="A28" s="26"/>
      <c r="B28" s="27" t="s">
        <v>43</v>
      </c>
      <c r="C28" s="27" t="s">
        <v>67</v>
      </c>
      <c r="D28" s="62">
        <f>A2.5.2!D28/A2.5.2!D$29</f>
        <v>2.0649485358653157E-3</v>
      </c>
      <c r="E28" s="58">
        <f>A2.5.2!E28/A2.5.2!E$29</f>
        <v>5.7864131744665443E-3</v>
      </c>
      <c r="F28" s="62">
        <f>A2.5.2!F28/A2.5.2!F$29</f>
        <v>1.8580465196257159E-3</v>
      </c>
      <c r="G28" s="58">
        <f>A2.5.2!G28/A2.5.2!G$29</f>
        <v>4.8404793151389834E-3</v>
      </c>
      <c r="H28" s="62">
        <f>A2.5.2!H28/A2.5.2!H$29</f>
        <v>1.6686610475638072E-3</v>
      </c>
      <c r="I28" s="58">
        <f>A2.5.2!I28/A2.5.2!I$29</f>
        <v>4.2541220911609971E-3</v>
      </c>
      <c r="J28" s="62">
        <f>A2.5.2!J28/A2.5.2!J$29</f>
        <v>2.077863118584434E-3</v>
      </c>
      <c r="K28" s="59">
        <f>A2.5.2!K28/A2.5.2!K$29</f>
        <v>4.9864097618825508E-3</v>
      </c>
    </row>
    <row r="29" spans="1:11" customFormat="1" ht="13.35" customHeight="1">
      <c r="A29" s="88"/>
      <c r="B29" s="75" t="s">
        <v>9</v>
      </c>
      <c r="C29" s="89"/>
      <c r="D29" s="63">
        <f>A2.5.2!D29/A2.5.2!D$29</f>
        <v>1</v>
      </c>
      <c r="E29" s="60">
        <f>A2.5.2!E29/A2.5.2!E$29</f>
        <v>1</v>
      </c>
      <c r="F29" s="63">
        <f>A2.5.2!F29/A2.5.2!F$29</f>
        <v>1</v>
      </c>
      <c r="G29" s="60">
        <f>A2.5.2!G29/A2.5.2!G$29</f>
        <v>1</v>
      </c>
      <c r="H29" s="63">
        <f>A2.5.2!H29/A2.5.2!H$29</f>
        <v>1</v>
      </c>
      <c r="I29" s="60">
        <f>A2.5.2!I29/A2.5.2!I$29</f>
        <v>1</v>
      </c>
      <c r="J29" s="63">
        <f>A2.5.2!J29/A2.5.2!J$29</f>
        <v>1</v>
      </c>
      <c r="K29" s="61">
        <f>A2.5.2!K29/A2.5.2!K$29</f>
        <v>1</v>
      </c>
    </row>
    <row r="30" spans="1:11" s="1" customFormat="1" ht="13.35" customHeight="1"/>
    <row r="31" spans="1:11">
      <c r="F31" s="560" t="s">
        <v>506</v>
      </c>
    </row>
  </sheetData>
  <mergeCells count="2">
    <mergeCell ref="B3:C3"/>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sheetPr codeName="Sheet7" enableFormatConditionsCalculation="0">
    <pageSetUpPr fitToPage="1"/>
  </sheetPr>
  <dimension ref="A1:K36"/>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20.7109375" style="2" customWidth="1"/>
    <col min="4" max="5" width="10.7109375" style="2" customWidth="1"/>
    <col min="6" max="6" width="10.7109375" style="14" customWidth="1"/>
    <col min="7" max="11" width="10.7109375" style="6" customWidth="1"/>
    <col min="12" max="16384" width="9.140625" style="10"/>
  </cols>
  <sheetData>
    <row r="1" spans="1:11" s="8" customFormat="1" ht="15" customHeight="1">
      <c r="A1" s="465" t="s">
        <v>437</v>
      </c>
      <c r="B1" s="465"/>
      <c r="C1" s="465"/>
      <c r="D1" s="465"/>
      <c r="E1" s="465"/>
      <c r="F1" s="465"/>
      <c r="G1" s="465"/>
      <c r="H1" s="465"/>
      <c r="I1" s="465"/>
      <c r="J1" s="465"/>
      <c r="K1" s="465"/>
    </row>
    <row r="2" spans="1:11" s="8" customFormat="1" ht="15" customHeight="1">
      <c r="A2" s="90"/>
      <c r="B2" s="91" t="s">
        <v>183</v>
      </c>
      <c r="C2" s="92"/>
      <c r="D2" s="84" t="s">
        <v>467</v>
      </c>
      <c r="E2" s="67"/>
      <c r="F2" s="65" t="s">
        <v>468</v>
      </c>
      <c r="G2" s="67"/>
      <c r="H2" s="65" t="s">
        <v>469</v>
      </c>
      <c r="I2" s="67"/>
      <c r="J2" s="708" t="s">
        <v>470</v>
      </c>
      <c r="K2" s="709"/>
    </row>
    <row r="3" spans="1:11" ht="22.5">
      <c r="A3" s="80"/>
      <c r="B3" s="703" t="s">
        <v>95</v>
      </c>
      <c r="C3" s="702"/>
      <c r="D3" s="32" t="s">
        <v>18</v>
      </c>
      <c r="E3" s="134" t="s">
        <v>110</v>
      </c>
      <c r="F3" s="32" t="s">
        <v>18</v>
      </c>
      <c r="G3" s="134" t="s">
        <v>110</v>
      </c>
      <c r="H3" s="32" t="s">
        <v>18</v>
      </c>
      <c r="I3" s="134" t="s">
        <v>110</v>
      </c>
      <c r="J3" s="33" t="s">
        <v>18</v>
      </c>
      <c r="K3" s="86" t="s">
        <v>110</v>
      </c>
    </row>
    <row r="4" spans="1:11" ht="13.35" customHeight="1">
      <c r="A4" s="49"/>
      <c r="B4" s="16" t="s">
        <v>19</v>
      </c>
      <c r="C4" s="16" t="s">
        <v>44</v>
      </c>
      <c r="D4" s="19">
        <v>56</v>
      </c>
      <c r="E4" s="15">
        <v>14.478294</v>
      </c>
      <c r="F4" s="19">
        <v>51</v>
      </c>
      <c r="G4" s="15">
        <v>6.0892169999999997</v>
      </c>
      <c r="H4" s="19">
        <v>41</v>
      </c>
      <c r="I4" s="15">
        <v>2.951902</v>
      </c>
      <c r="J4" s="19">
        <v>44</v>
      </c>
      <c r="K4" s="24">
        <v>12.718088</v>
      </c>
    </row>
    <row r="5" spans="1:11" ht="13.35" customHeight="1">
      <c r="A5" s="49"/>
      <c r="B5" s="16" t="s">
        <v>20</v>
      </c>
      <c r="C5" s="50" t="s">
        <v>137</v>
      </c>
      <c r="D5" s="19">
        <v>2</v>
      </c>
      <c r="E5" s="15">
        <v>0.36830400000000002</v>
      </c>
      <c r="F5" s="19">
        <v>2</v>
      </c>
      <c r="G5" s="15">
        <v>8.2905000000000006E-2</v>
      </c>
      <c r="H5" s="19">
        <v>6</v>
      </c>
      <c r="I5" s="15">
        <v>0.17541200000000001</v>
      </c>
      <c r="J5" s="19">
        <v>5</v>
      </c>
      <c r="K5" s="24">
        <v>0.95821999999999996</v>
      </c>
    </row>
    <row r="6" spans="1:11" ht="13.35" customHeight="1">
      <c r="A6" s="49"/>
      <c r="B6" s="16" t="s">
        <v>21</v>
      </c>
      <c r="C6" s="16" t="s">
        <v>45</v>
      </c>
      <c r="D6" s="19">
        <v>46</v>
      </c>
      <c r="E6" s="15">
        <v>0.41446100000000002</v>
      </c>
      <c r="F6" s="19">
        <v>60</v>
      </c>
      <c r="G6" s="15">
        <v>0.35405199999999998</v>
      </c>
      <c r="H6" s="19">
        <v>118</v>
      </c>
      <c r="I6" s="15">
        <v>1.2489889999999999</v>
      </c>
      <c r="J6" s="19">
        <v>122</v>
      </c>
      <c r="K6" s="24">
        <v>2.100368</v>
      </c>
    </row>
    <row r="7" spans="1:11" ht="13.35" customHeight="1">
      <c r="A7" s="49"/>
      <c r="B7" s="16" t="s">
        <v>22</v>
      </c>
      <c r="C7" s="16" t="s">
        <v>46</v>
      </c>
      <c r="D7" s="19">
        <v>48</v>
      </c>
      <c r="E7" s="15">
        <v>0.64271199999999995</v>
      </c>
      <c r="F7" s="19">
        <v>44</v>
      </c>
      <c r="G7" s="15">
        <v>0.39412399999999997</v>
      </c>
      <c r="H7" s="19">
        <v>58</v>
      </c>
      <c r="I7" s="15">
        <v>0.607483</v>
      </c>
      <c r="J7" s="19">
        <v>48</v>
      </c>
      <c r="K7" s="24">
        <v>1.0500259999999999</v>
      </c>
    </row>
    <row r="8" spans="1:11" ht="13.35" customHeight="1">
      <c r="A8" s="49"/>
      <c r="B8" s="16" t="s">
        <v>23</v>
      </c>
      <c r="C8" s="16" t="s">
        <v>47</v>
      </c>
      <c r="D8" s="19">
        <v>81</v>
      </c>
      <c r="E8" s="15">
        <v>1.201738</v>
      </c>
      <c r="F8" s="19">
        <v>62</v>
      </c>
      <c r="G8" s="15">
        <v>0.58613300000000002</v>
      </c>
      <c r="H8" s="19">
        <v>67</v>
      </c>
      <c r="I8" s="15">
        <v>0.84122399999999997</v>
      </c>
      <c r="J8" s="19">
        <v>50</v>
      </c>
      <c r="K8" s="24">
        <v>0.912605</v>
      </c>
    </row>
    <row r="9" spans="1:11" ht="13.35" customHeight="1">
      <c r="A9" s="49"/>
      <c r="B9" s="16" t="s">
        <v>24</v>
      </c>
      <c r="C9" s="16" t="s">
        <v>48</v>
      </c>
      <c r="D9" s="19">
        <v>125</v>
      </c>
      <c r="E9" s="15">
        <v>1.034807</v>
      </c>
      <c r="F9" s="19">
        <v>103</v>
      </c>
      <c r="G9" s="15">
        <v>1.1803049999999999</v>
      </c>
      <c r="H9" s="19">
        <v>135</v>
      </c>
      <c r="I9" s="15">
        <v>1.4782630000000001</v>
      </c>
      <c r="J9" s="19">
        <v>62</v>
      </c>
      <c r="K9" s="24">
        <v>1.1065100000000001</v>
      </c>
    </row>
    <row r="10" spans="1:11" s="51" customFormat="1" ht="13.35" customHeight="1">
      <c r="A10" s="49"/>
      <c r="B10" s="16" t="s">
        <v>25</v>
      </c>
      <c r="C10" s="16" t="s">
        <v>49</v>
      </c>
      <c r="D10" s="19">
        <v>220</v>
      </c>
      <c r="E10" s="15">
        <v>1.783604</v>
      </c>
      <c r="F10" s="19">
        <v>156</v>
      </c>
      <c r="G10" s="15">
        <v>1.0480149999999999</v>
      </c>
      <c r="H10" s="19">
        <v>157</v>
      </c>
      <c r="I10" s="15">
        <v>2.258267</v>
      </c>
      <c r="J10" s="19">
        <v>104</v>
      </c>
      <c r="K10" s="24">
        <v>1.590573</v>
      </c>
    </row>
    <row r="11" spans="1:11" s="1" customFormat="1" ht="13.35" customHeight="1">
      <c r="A11" s="26"/>
      <c r="B11" s="16" t="s">
        <v>26</v>
      </c>
      <c r="C11" s="16" t="s">
        <v>50</v>
      </c>
      <c r="D11" s="19">
        <v>358</v>
      </c>
      <c r="E11" s="15">
        <v>2.6555270000000002</v>
      </c>
      <c r="F11" s="19">
        <v>277</v>
      </c>
      <c r="G11" s="15">
        <v>1.35076</v>
      </c>
      <c r="H11" s="19">
        <v>239</v>
      </c>
      <c r="I11" s="15">
        <v>2.2738299999999998</v>
      </c>
      <c r="J11" s="19">
        <v>128</v>
      </c>
      <c r="K11" s="24">
        <v>2.2798060000000002</v>
      </c>
    </row>
    <row r="12" spans="1:11" s="1" customFormat="1" ht="13.35" customHeight="1">
      <c r="A12" s="26"/>
      <c r="B12" s="16" t="s">
        <v>27</v>
      </c>
      <c r="C12" s="16" t="s">
        <v>51</v>
      </c>
      <c r="D12" s="19">
        <v>573</v>
      </c>
      <c r="E12" s="15">
        <v>4.8610350000000002</v>
      </c>
      <c r="F12" s="19">
        <v>373</v>
      </c>
      <c r="G12" s="15">
        <v>2.6004360000000002</v>
      </c>
      <c r="H12" s="19">
        <v>263</v>
      </c>
      <c r="I12" s="15">
        <v>2.1587670000000001</v>
      </c>
      <c r="J12" s="19">
        <v>176</v>
      </c>
      <c r="K12" s="24">
        <v>1.4477640000000001</v>
      </c>
    </row>
    <row r="13" spans="1:11" s="1" customFormat="1" ht="13.35" customHeight="1">
      <c r="A13" s="26"/>
      <c r="B13" s="27" t="s">
        <v>28</v>
      </c>
      <c r="C13" s="27" t="s">
        <v>52</v>
      </c>
      <c r="D13" s="19">
        <v>964</v>
      </c>
      <c r="E13" s="15">
        <v>8.4969549999999998</v>
      </c>
      <c r="F13" s="19">
        <v>388</v>
      </c>
      <c r="G13" s="15">
        <v>3.0197639999999999</v>
      </c>
      <c r="H13" s="19">
        <v>285</v>
      </c>
      <c r="I13" s="15">
        <v>2.5608689999999998</v>
      </c>
      <c r="J13" s="19">
        <v>157</v>
      </c>
      <c r="K13" s="24">
        <v>2.502011</v>
      </c>
    </row>
    <row r="14" spans="1:11" s="1" customFormat="1" ht="13.35" customHeight="1">
      <c r="A14" s="26"/>
      <c r="B14" s="27" t="s">
        <v>29</v>
      </c>
      <c r="C14" s="27" t="s">
        <v>53</v>
      </c>
      <c r="D14" s="19">
        <v>1323</v>
      </c>
      <c r="E14" s="15">
        <v>11.476673</v>
      </c>
      <c r="F14" s="19">
        <v>433</v>
      </c>
      <c r="G14" s="15">
        <v>5.2670130000000004</v>
      </c>
      <c r="H14" s="19">
        <v>289</v>
      </c>
      <c r="I14" s="15">
        <v>2.6644350000000001</v>
      </c>
      <c r="J14" s="19">
        <v>131</v>
      </c>
      <c r="K14" s="24">
        <v>2.0852520000000001</v>
      </c>
    </row>
    <row r="15" spans="1:11" customFormat="1" ht="13.35" customHeight="1">
      <c r="A15" s="26"/>
      <c r="B15" s="27" t="s">
        <v>30</v>
      </c>
      <c r="C15" s="27" t="s">
        <v>54</v>
      </c>
      <c r="D15" s="19">
        <v>1825</v>
      </c>
      <c r="E15" s="15">
        <v>15.831780999999999</v>
      </c>
      <c r="F15" s="19">
        <v>450</v>
      </c>
      <c r="G15" s="15">
        <v>2.9993439999999998</v>
      </c>
      <c r="H15" s="19">
        <v>304</v>
      </c>
      <c r="I15" s="15">
        <v>3.3938990000000002</v>
      </c>
      <c r="J15" s="19">
        <v>150</v>
      </c>
      <c r="K15" s="24">
        <v>1.7615749999999999</v>
      </c>
    </row>
    <row r="16" spans="1:11" customFormat="1" ht="13.35" customHeight="1">
      <c r="A16" s="26"/>
      <c r="B16" s="27" t="s">
        <v>31</v>
      </c>
      <c r="C16" s="27" t="s">
        <v>55</v>
      </c>
      <c r="D16" s="19">
        <v>2406</v>
      </c>
      <c r="E16" s="15">
        <v>20.887654999999999</v>
      </c>
      <c r="F16" s="19">
        <v>556</v>
      </c>
      <c r="G16" s="15">
        <v>3.6016919999999999</v>
      </c>
      <c r="H16" s="19">
        <v>329</v>
      </c>
      <c r="I16" s="15">
        <v>4.725174</v>
      </c>
      <c r="J16" s="19">
        <v>179</v>
      </c>
      <c r="K16" s="24">
        <v>2.229444</v>
      </c>
    </row>
    <row r="17" spans="1:11" customFormat="1" ht="13.35" customHeight="1">
      <c r="A17" s="26"/>
      <c r="B17" s="27" t="s">
        <v>32</v>
      </c>
      <c r="C17" s="27" t="s">
        <v>56</v>
      </c>
      <c r="D17" s="19">
        <v>3082</v>
      </c>
      <c r="E17" s="15">
        <v>25.703899</v>
      </c>
      <c r="F17" s="19">
        <v>750</v>
      </c>
      <c r="G17" s="15">
        <v>4.1738340000000003</v>
      </c>
      <c r="H17" s="19">
        <v>437</v>
      </c>
      <c r="I17" s="15">
        <v>5.5864229999999999</v>
      </c>
      <c r="J17" s="19">
        <v>243</v>
      </c>
      <c r="K17" s="24">
        <v>3.304821</v>
      </c>
    </row>
    <row r="18" spans="1:11" customFormat="1" ht="13.35" customHeight="1">
      <c r="A18" s="26"/>
      <c r="B18" s="27" t="s">
        <v>33</v>
      </c>
      <c r="C18" s="27" t="s">
        <v>57</v>
      </c>
      <c r="D18" s="19">
        <v>3271</v>
      </c>
      <c r="E18" s="15">
        <v>26.422222999999999</v>
      </c>
      <c r="F18" s="19">
        <v>1150</v>
      </c>
      <c r="G18" s="15">
        <v>6.0699259999999997</v>
      </c>
      <c r="H18" s="19">
        <v>634</v>
      </c>
      <c r="I18" s="15">
        <v>7.7735510000000003</v>
      </c>
      <c r="J18" s="19">
        <v>316</v>
      </c>
      <c r="K18" s="24">
        <v>2.5270380000000001</v>
      </c>
    </row>
    <row r="19" spans="1:11" customFormat="1" ht="13.35" customHeight="1">
      <c r="A19" s="26"/>
      <c r="B19" s="27" t="s">
        <v>34</v>
      </c>
      <c r="C19" s="27" t="s">
        <v>58</v>
      </c>
      <c r="D19" s="19">
        <v>2814</v>
      </c>
      <c r="E19" s="15">
        <v>24.050170999999999</v>
      </c>
      <c r="F19" s="19">
        <v>1257</v>
      </c>
      <c r="G19" s="15">
        <v>6.0492150000000002</v>
      </c>
      <c r="H19" s="19">
        <v>863</v>
      </c>
      <c r="I19" s="15">
        <v>10.516427999999999</v>
      </c>
      <c r="J19" s="19">
        <v>418</v>
      </c>
      <c r="K19" s="24">
        <v>3.0260310000000001</v>
      </c>
    </row>
    <row r="20" spans="1:11" customFormat="1" ht="13.35" customHeight="1">
      <c r="A20" s="26"/>
      <c r="B20" s="27" t="s">
        <v>35</v>
      </c>
      <c r="C20" s="87" t="s">
        <v>59</v>
      </c>
      <c r="D20" s="19">
        <v>9887</v>
      </c>
      <c r="E20" s="15">
        <v>97.885279999999995</v>
      </c>
      <c r="F20" s="19">
        <v>4963</v>
      </c>
      <c r="G20" s="15">
        <v>29.998436999999999</v>
      </c>
      <c r="H20" s="19">
        <v>8023</v>
      </c>
      <c r="I20" s="15">
        <v>108.37039</v>
      </c>
      <c r="J20" s="19">
        <v>5666</v>
      </c>
      <c r="K20" s="24">
        <v>29.60004</v>
      </c>
    </row>
    <row r="21" spans="1:11" customFormat="1" ht="13.35" customHeight="1">
      <c r="A21" s="26"/>
      <c r="B21" s="27" t="s">
        <v>36</v>
      </c>
      <c r="C21" s="27" t="s">
        <v>60</v>
      </c>
      <c r="D21" s="19">
        <v>10016</v>
      </c>
      <c r="E21" s="15">
        <v>153.80957900000001</v>
      </c>
      <c r="F21" s="19">
        <v>6053</v>
      </c>
      <c r="G21" s="15">
        <v>62.781112</v>
      </c>
      <c r="H21" s="19">
        <v>6626</v>
      </c>
      <c r="I21" s="15">
        <v>117.312017</v>
      </c>
      <c r="J21" s="19">
        <v>5833</v>
      </c>
      <c r="K21" s="24">
        <v>54.221102000000002</v>
      </c>
    </row>
    <row r="22" spans="1:11" customFormat="1" ht="13.35" customHeight="1">
      <c r="A22" s="26"/>
      <c r="B22" s="27" t="s">
        <v>37</v>
      </c>
      <c r="C22" s="27" t="s">
        <v>61</v>
      </c>
      <c r="D22" s="19">
        <v>4019</v>
      </c>
      <c r="E22" s="15">
        <v>114.777717</v>
      </c>
      <c r="F22" s="19">
        <v>2693</v>
      </c>
      <c r="G22" s="15">
        <v>57.911878999999999</v>
      </c>
      <c r="H22" s="19">
        <v>3020</v>
      </c>
      <c r="I22" s="15">
        <v>81.993082000000001</v>
      </c>
      <c r="J22" s="19">
        <v>4906</v>
      </c>
      <c r="K22" s="24">
        <v>66.891722000000001</v>
      </c>
    </row>
    <row r="23" spans="1:11" customFormat="1" ht="13.35" customHeight="1">
      <c r="A23" s="26"/>
      <c r="B23" s="27" t="s">
        <v>38</v>
      </c>
      <c r="C23" s="27" t="s">
        <v>62</v>
      </c>
      <c r="D23" s="19">
        <v>3326</v>
      </c>
      <c r="E23" s="15">
        <v>172.855424</v>
      </c>
      <c r="F23" s="19">
        <v>2376</v>
      </c>
      <c r="G23" s="15">
        <v>78.621364</v>
      </c>
      <c r="H23" s="19">
        <v>1693</v>
      </c>
      <c r="I23" s="15">
        <v>75.416032999999999</v>
      </c>
      <c r="J23" s="19">
        <v>2551</v>
      </c>
      <c r="K23" s="24">
        <v>74.831729999999993</v>
      </c>
    </row>
    <row r="24" spans="1:11" customFormat="1" ht="13.35" customHeight="1">
      <c r="A24" s="26"/>
      <c r="B24" s="27" t="s">
        <v>39</v>
      </c>
      <c r="C24" s="27" t="s">
        <v>63</v>
      </c>
      <c r="D24" s="19">
        <v>4915</v>
      </c>
      <c r="E24" s="15">
        <v>409.410459</v>
      </c>
      <c r="F24" s="19">
        <v>3371</v>
      </c>
      <c r="G24" s="15">
        <v>219.88786899999999</v>
      </c>
      <c r="H24" s="19">
        <v>4513</v>
      </c>
      <c r="I24" s="15">
        <v>412.26135299999999</v>
      </c>
      <c r="J24" s="19">
        <v>4743</v>
      </c>
      <c r="K24" s="24">
        <v>279.373988</v>
      </c>
    </row>
    <row r="25" spans="1:11" customFormat="1" ht="13.35" customHeight="1">
      <c r="A25" s="26"/>
      <c r="B25" s="27" t="s">
        <v>40</v>
      </c>
      <c r="C25" s="27" t="s">
        <v>64</v>
      </c>
      <c r="D25" s="19">
        <v>2809</v>
      </c>
      <c r="E25" s="15">
        <v>456.99420800000001</v>
      </c>
      <c r="F25" s="19">
        <v>2214</v>
      </c>
      <c r="G25" s="15">
        <v>247.33819700000001</v>
      </c>
      <c r="H25" s="19">
        <v>2666</v>
      </c>
      <c r="I25" s="15">
        <v>313.48183399999999</v>
      </c>
      <c r="J25" s="19">
        <v>2718</v>
      </c>
      <c r="K25" s="24">
        <v>282.77400599999999</v>
      </c>
    </row>
    <row r="26" spans="1:11" customFormat="1" ht="13.35" customHeight="1">
      <c r="A26" s="26"/>
      <c r="B26" s="27" t="s">
        <v>41</v>
      </c>
      <c r="C26" s="27" t="s">
        <v>65</v>
      </c>
      <c r="D26" s="19">
        <v>4798</v>
      </c>
      <c r="E26" s="15">
        <v>1807.248098</v>
      </c>
      <c r="F26" s="19">
        <v>3686</v>
      </c>
      <c r="G26" s="15">
        <v>950.64109199999996</v>
      </c>
      <c r="H26" s="19">
        <v>4023</v>
      </c>
      <c r="I26" s="15">
        <v>947.42168800000002</v>
      </c>
      <c r="J26" s="19">
        <v>4495</v>
      </c>
      <c r="K26" s="24">
        <v>1008.391247</v>
      </c>
    </row>
    <row r="27" spans="1:11" customFormat="1" ht="13.35" customHeight="1">
      <c r="A27" s="26"/>
      <c r="B27" s="27" t="s">
        <v>42</v>
      </c>
      <c r="C27" s="27" t="s">
        <v>66</v>
      </c>
      <c r="D27" s="19">
        <v>2530</v>
      </c>
      <c r="E27" s="15">
        <v>2950.4193129999999</v>
      </c>
      <c r="F27" s="19">
        <v>1862</v>
      </c>
      <c r="G27" s="15">
        <v>1608.3001369999999</v>
      </c>
      <c r="H27" s="19">
        <v>1735</v>
      </c>
      <c r="I27" s="15">
        <v>1320.296877</v>
      </c>
      <c r="J27" s="19">
        <v>2094</v>
      </c>
      <c r="K27" s="24">
        <v>1843.392754</v>
      </c>
    </row>
    <row r="28" spans="1:11" customFormat="1" ht="13.35" customHeight="1">
      <c r="A28" s="26"/>
      <c r="B28" s="27" t="s">
        <v>43</v>
      </c>
      <c r="C28" s="27" t="s">
        <v>67</v>
      </c>
      <c r="D28" s="19">
        <v>864</v>
      </c>
      <c r="E28" s="15">
        <v>4907.3813170000003</v>
      </c>
      <c r="F28" s="19">
        <v>655</v>
      </c>
      <c r="G28" s="15">
        <v>2812.9120370000001</v>
      </c>
      <c r="H28" s="19">
        <v>511</v>
      </c>
      <c r="I28" s="15">
        <v>2596.4301169999999</v>
      </c>
      <c r="J28" s="19">
        <v>612</v>
      </c>
      <c r="K28" s="24">
        <v>2399.2978250000001</v>
      </c>
    </row>
    <row r="29" spans="1:11" customFormat="1" ht="13.35" customHeight="1">
      <c r="A29" s="88"/>
      <c r="B29" s="75" t="s">
        <v>9</v>
      </c>
      <c r="C29" s="89"/>
      <c r="D29" s="20">
        <f t="shared" ref="D29:K29" si="0">SUM(D4:D28)</f>
        <v>60358</v>
      </c>
      <c r="E29" s="18">
        <f t="shared" si="0"/>
        <v>11231.091234</v>
      </c>
      <c r="F29" s="20">
        <f t="shared" si="0"/>
        <v>33985</v>
      </c>
      <c r="G29" s="18">
        <f t="shared" si="0"/>
        <v>6113.2588589999996</v>
      </c>
      <c r="H29" s="20">
        <f t="shared" si="0"/>
        <v>37035</v>
      </c>
      <c r="I29" s="18">
        <f t="shared" si="0"/>
        <v>6024.1983069999997</v>
      </c>
      <c r="J29" s="20">
        <f t="shared" si="0"/>
        <v>35951</v>
      </c>
      <c r="K29" s="25">
        <f t="shared" si="0"/>
        <v>6080.374546</v>
      </c>
    </row>
    <row r="30" spans="1:11" s="1" customFormat="1" ht="13.35" customHeight="1"/>
    <row r="31" spans="1:11" customFormat="1" ht="13.35" customHeight="1">
      <c r="F31" s="560" t="s">
        <v>506</v>
      </c>
      <c r="H31" s="1"/>
    </row>
    <row r="32" spans="1:11" customFormat="1" ht="13.35" customHeight="1">
      <c r="H32" s="1"/>
    </row>
    <row r="33" spans="3:11" customFormat="1" ht="13.35" customHeight="1">
      <c r="C33" s="144" t="s">
        <v>267</v>
      </c>
      <c r="D33" s="99">
        <f>A2.5.1!D8-D29</f>
        <v>0</v>
      </c>
      <c r="E33" s="99">
        <f>A2.5.1!E8-E29</f>
        <v>0</v>
      </c>
      <c r="F33" s="99">
        <f>A2.5.1!F8-F29</f>
        <v>0</v>
      </c>
      <c r="G33" s="99">
        <f>A2.5.1!G8-G29</f>
        <v>0</v>
      </c>
      <c r="H33" s="99">
        <f>A2.5.1!H8-H29</f>
        <v>0</v>
      </c>
      <c r="I33" s="99">
        <f>A2.5.1!I8-I29</f>
        <v>0</v>
      </c>
      <c r="J33" s="99">
        <f>A2.5.1!J8-J29</f>
        <v>0</v>
      </c>
      <c r="K33" s="145">
        <f>A2.5.1!K8-K29</f>
        <v>0</v>
      </c>
    </row>
    <row r="34" spans="3:11" customFormat="1" ht="13.35" customHeight="1">
      <c r="H34" s="1"/>
    </row>
    <row r="35" spans="3:11" customFormat="1" ht="13.35" customHeight="1">
      <c r="C35" s="144" t="s">
        <v>269</v>
      </c>
      <c r="D35" s="99"/>
      <c r="E35" s="145"/>
      <c r="H35" s="1"/>
    </row>
    <row r="36" spans="3:11" customFormat="1" ht="13.35" customHeight="1">
      <c r="H36" s="1"/>
    </row>
  </sheetData>
  <mergeCells count="2">
    <mergeCell ref="B3:C3"/>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sheetPr codeName="Sheet42"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492</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90</v>
      </c>
      <c r="F3" s="32" t="s">
        <v>18</v>
      </c>
      <c r="G3" s="134" t="s">
        <v>90</v>
      </c>
      <c r="H3" s="32" t="s">
        <v>18</v>
      </c>
      <c r="I3" s="134" t="s">
        <v>90</v>
      </c>
      <c r="J3" s="33" t="s">
        <v>18</v>
      </c>
      <c r="K3" s="86" t="s">
        <v>90</v>
      </c>
    </row>
    <row r="4" spans="1:11" ht="13.35" customHeight="1">
      <c r="A4" s="49"/>
      <c r="B4" s="16" t="s">
        <v>19</v>
      </c>
      <c r="C4" s="16" t="s">
        <v>44</v>
      </c>
      <c r="D4" s="62">
        <f>A2.5.3!D4/A2.5.3!D$29</f>
        <v>9.2779747506544288E-4</v>
      </c>
      <c r="E4" s="58">
        <f>A2.5.3!E4/A2.5.3!E$29</f>
        <v>1.2891262031751384E-3</v>
      </c>
      <c r="F4" s="62">
        <f>A2.5.3!F4/A2.5.3!F$29</f>
        <v>1.5006620567897602E-3</v>
      </c>
      <c r="G4" s="58">
        <f>A2.5.3!G4/A2.5.3!G$29</f>
        <v>9.9606725977837416E-4</v>
      </c>
      <c r="H4" s="62">
        <f>A2.5.3!H4/A2.5.3!H$29</f>
        <v>1.1070608883488591E-3</v>
      </c>
      <c r="I4" s="58">
        <f>A2.5.3!I4/A2.5.3!I$29</f>
        <v>4.9000744158271613E-4</v>
      </c>
      <c r="J4" s="62">
        <f>A2.5.3!J4/A2.5.3!J$29</f>
        <v>1.2238880698728825E-3</v>
      </c>
      <c r="K4" s="59">
        <f>A2.5.3!K4/A2.5.3!K$29</f>
        <v>2.0916619369059507E-3</v>
      </c>
    </row>
    <row r="5" spans="1:11" ht="13.35" customHeight="1">
      <c r="A5" s="49"/>
      <c r="B5" s="16" t="s">
        <v>20</v>
      </c>
      <c r="C5" s="50" t="s">
        <v>137</v>
      </c>
      <c r="D5" s="62">
        <f>A2.5.3!D5/A2.5.3!D$29</f>
        <v>3.31356241094801E-5</v>
      </c>
      <c r="E5" s="58">
        <f>A2.5.3!E5/A2.5.3!E$29</f>
        <v>3.2793251548436319E-5</v>
      </c>
      <c r="F5" s="62">
        <f>A2.5.3!F5/A2.5.3!F$29</f>
        <v>5.8849492423127853E-5</v>
      </c>
      <c r="G5" s="58">
        <f>A2.5.3!G5/A2.5.3!G$29</f>
        <v>1.356150654048396E-5</v>
      </c>
      <c r="H5" s="62">
        <f>A2.5.3!H5/A2.5.3!H$29</f>
        <v>1.6200891049007697E-4</v>
      </c>
      <c r="I5" s="58">
        <f>A2.5.3!I5/A2.5.3!I$29</f>
        <v>2.9117899355367291E-5</v>
      </c>
      <c r="J5" s="62">
        <f>A2.5.3!J5/A2.5.3!J$29</f>
        <v>1.3907818975828211E-4</v>
      </c>
      <c r="K5" s="59">
        <f>A2.5.3!K5/A2.5.3!K$29</f>
        <v>1.5759226553409758E-4</v>
      </c>
    </row>
    <row r="6" spans="1:11" ht="13.35" customHeight="1">
      <c r="A6" s="49"/>
      <c r="B6" s="16" t="s">
        <v>21</v>
      </c>
      <c r="C6" s="16" t="s">
        <v>45</v>
      </c>
      <c r="D6" s="62">
        <f>A2.5.3!D6/A2.5.3!D$29</f>
        <v>7.6211935451804232E-4</v>
      </c>
      <c r="E6" s="58">
        <f>A2.5.3!E6/A2.5.3!E$29</f>
        <v>3.6903003578610236E-5</v>
      </c>
      <c r="F6" s="62">
        <f>A2.5.3!F6/A2.5.3!F$29</f>
        <v>1.7654847726938355E-3</v>
      </c>
      <c r="G6" s="58">
        <f>A2.5.3!G6/A2.5.3!G$29</f>
        <v>5.7915427461207724E-5</v>
      </c>
      <c r="H6" s="62">
        <f>A2.5.3!H6/A2.5.3!H$29</f>
        <v>3.1861752396381803E-3</v>
      </c>
      <c r="I6" s="58">
        <f>A2.5.3!I6/A2.5.3!I$29</f>
        <v>2.0732866621417481E-4</v>
      </c>
      <c r="J6" s="62">
        <f>A2.5.3!J6/A2.5.3!J$29</f>
        <v>3.3935078301020835E-3</v>
      </c>
      <c r="K6" s="59">
        <f>A2.5.3!K6/A2.5.3!K$29</f>
        <v>3.4543398340185081E-4</v>
      </c>
    </row>
    <row r="7" spans="1:11" ht="13.35" customHeight="1">
      <c r="A7" s="49"/>
      <c r="B7" s="16" t="s">
        <v>22</v>
      </c>
      <c r="C7" s="16" t="s">
        <v>46</v>
      </c>
      <c r="D7" s="62">
        <f>A2.5.3!D7/A2.5.3!D$29</f>
        <v>7.9525497862752246E-4</v>
      </c>
      <c r="E7" s="58">
        <f>A2.5.3!E7/A2.5.3!E$29</f>
        <v>5.7226140061467155E-5</v>
      </c>
      <c r="F7" s="62">
        <f>A2.5.3!F7/A2.5.3!F$29</f>
        <v>1.2946888333088128E-3</v>
      </c>
      <c r="G7" s="58">
        <f>A2.5.3!G7/A2.5.3!G$29</f>
        <v>6.4470360096034016E-5</v>
      </c>
      <c r="H7" s="62">
        <f>A2.5.3!H7/A2.5.3!H$29</f>
        <v>1.5660861347374106E-3</v>
      </c>
      <c r="I7" s="58">
        <f>A2.5.3!I7/A2.5.3!I$29</f>
        <v>1.0084047188388814E-4</v>
      </c>
      <c r="J7" s="62">
        <f>A2.5.3!J7/A2.5.3!J$29</f>
        <v>1.3351506216795082E-3</v>
      </c>
      <c r="K7" s="59">
        <f>A2.5.3!K7/A2.5.3!K$29</f>
        <v>1.726910064595879E-4</v>
      </c>
    </row>
    <row r="8" spans="1:11" ht="13.35" customHeight="1">
      <c r="A8" s="49"/>
      <c r="B8" s="16" t="s">
        <v>23</v>
      </c>
      <c r="C8" s="16" t="s">
        <v>47</v>
      </c>
      <c r="D8" s="62">
        <f>A2.5.3!D8/A2.5.3!D$29</f>
        <v>1.3419927764339442E-3</v>
      </c>
      <c r="E8" s="58">
        <f>A2.5.3!E8/A2.5.3!E$29</f>
        <v>1.07001000611763E-4</v>
      </c>
      <c r="F8" s="62">
        <f>A2.5.3!F8/A2.5.3!F$29</f>
        <v>1.8243342651169633E-3</v>
      </c>
      <c r="G8" s="58">
        <f>A2.5.3!G8/A2.5.3!G$29</f>
        <v>9.5878976094246248E-5</v>
      </c>
      <c r="H8" s="62">
        <f>A2.5.3!H8/A2.5.3!H$29</f>
        <v>1.809099500472526E-3</v>
      </c>
      <c r="I8" s="58">
        <f>A2.5.3!I8/A2.5.3!I$29</f>
        <v>1.396408214222487E-4</v>
      </c>
      <c r="J8" s="62">
        <f>A2.5.3!J8/A2.5.3!J$29</f>
        <v>1.390781897582821E-3</v>
      </c>
      <c r="K8" s="59">
        <f>A2.5.3!K8/A2.5.3!K$29</f>
        <v>1.5009026057454981E-4</v>
      </c>
    </row>
    <row r="9" spans="1:11" ht="13.35" customHeight="1">
      <c r="A9" s="49"/>
      <c r="B9" s="16" t="s">
        <v>24</v>
      </c>
      <c r="C9" s="16" t="s">
        <v>48</v>
      </c>
      <c r="D9" s="62">
        <f>A2.5.3!D9/A2.5.3!D$29</f>
        <v>2.0709765068425063E-3</v>
      </c>
      <c r="E9" s="58">
        <f>A2.5.3!E9/A2.5.3!E$29</f>
        <v>9.2137707586892185E-5</v>
      </c>
      <c r="F9" s="62">
        <f>A2.5.3!F9/A2.5.3!F$29</f>
        <v>3.0307488597910845E-3</v>
      </c>
      <c r="G9" s="58">
        <f>A2.5.3!G9/A2.5.3!G$29</f>
        <v>1.9307296275575559E-4</v>
      </c>
      <c r="H9" s="62">
        <f>A2.5.3!H9/A2.5.3!H$29</f>
        <v>3.6452004860267314E-3</v>
      </c>
      <c r="I9" s="58">
        <f>A2.5.3!I9/A2.5.3!I$29</f>
        <v>2.4538750629810572E-4</v>
      </c>
      <c r="J9" s="62">
        <f>A2.5.3!J9/A2.5.3!J$29</f>
        <v>1.7245695530026981E-3</v>
      </c>
      <c r="K9" s="59">
        <f>A2.5.3!K9/A2.5.3!K$29</f>
        <v>1.8198056577417956E-4</v>
      </c>
    </row>
    <row r="10" spans="1:11" s="51" customFormat="1" ht="13.35" customHeight="1">
      <c r="A10" s="49"/>
      <c r="B10" s="16" t="s">
        <v>25</v>
      </c>
      <c r="C10" s="16" t="s">
        <v>49</v>
      </c>
      <c r="D10" s="62">
        <f>A2.5.3!D10/A2.5.3!D$29</f>
        <v>3.6449186520428113E-3</v>
      </c>
      <c r="E10" s="58">
        <f>A2.5.3!E10/A2.5.3!E$29</f>
        <v>1.5880950148463552E-4</v>
      </c>
      <c r="F10" s="62">
        <f>A2.5.3!F10/A2.5.3!F$29</f>
        <v>4.5902604090039727E-3</v>
      </c>
      <c r="G10" s="58">
        <f>A2.5.3!G10/A2.5.3!G$29</f>
        <v>1.7143311352783662E-4</v>
      </c>
      <c r="H10" s="62">
        <f>A2.5.3!H10/A2.5.3!H$29</f>
        <v>4.2392331578236806E-3</v>
      </c>
      <c r="I10" s="58">
        <f>A2.5.3!I10/A2.5.3!I$29</f>
        <v>3.7486597965673512E-4</v>
      </c>
      <c r="J10" s="62">
        <f>A2.5.3!J10/A2.5.3!J$29</f>
        <v>2.892826346972268E-3</v>
      </c>
      <c r="K10" s="59">
        <f>A2.5.3!K10/A2.5.3!K$29</f>
        <v>2.6159128651809206E-4</v>
      </c>
    </row>
    <row r="11" spans="1:11" s="1" customFormat="1" ht="13.35" customHeight="1">
      <c r="A11" s="26"/>
      <c r="B11" s="16" t="s">
        <v>26</v>
      </c>
      <c r="C11" s="16" t="s">
        <v>50</v>
      </c>
      <c r="D11" s="62">
        <f>A2.5.3!D11/A2.5.3!D$29</f>
        <v>5.9312767155969386E-3</v>
      </c>
      <c r="E11" s="58">
        <f>A2.5.3!E11/A2.5.3!E$29</f>
        <v>2.3644425503025883E-4</v>
      </c>
      <c r="F11" s="62">
        <f>A2.5.3!F11/A2.5.3!F$29</f>
        <v>8.1506547006032076E-3</v>
      </c>
      <c r="G11" s="58">
        <f>A2.5.3!G11/A2.5.3!G$29</f>
        <v>2.2095579970597806E-4</v>
      </c>
      <c r="H11" s="62">
        <f>A2.5.3!H11/A2.5.3!H$29</f>
        <v>6.4533549345213983E-3</v>
      </c>
      <c r="I11" s="58">
        <f>A2.5.3!I11/A2.5.3!I$29</f>
        <v>3.7744939394804684E-4</v>
      </c>
      <c r="J11" s="62">
        <f>A2.5.3!J11/A2.5.3!J$29</f>
        <v>3.5604016578120218E-3</v>
      </c>
      <c r="K11" s="59">
        <f>A2.5.3!K11/A2.5.3!K$29</f>
        <v>3.7494499438357466E-4</v>
      </c>
    </row>
    <row r="12" spans="1:11" s="1" customFormat="1" ht="13.35" customHeight="1">
      <c r="A12" s="26"/>
      <c r="B12" s="16" t="s">
        <v>27</v>
      </c>
      <c r="C12" s="16" t="s">
        <v>51</v>
      </c>
      <c r="D12" s="62">
        <f>A2.5.3!D12/A2.5.3!D$29</f>
        <v>9.4933563073660489E-3</v>
      </c>
      <c r="E12" s="58">
        <f>A2.5.3!E12/A2.5.3!E$29</f>
        <v>4.328194739692024E-4</v>
      </c>
      <c r="F12" s="62">
        <f>A2.5.3!F12/A2.5.3!F$29</f>
        <v>1.0975430336913344E-2</v>
      </c>
      <c r="G12" s="58">
        <f>A2.5.3!G12/A2.5.3!G$29</f>
        <v>4.2537639252288701E-4</v>
      </c>
      <c r="H12" s="62">
        <f>A2.5.3!H12/A2.5.3!H$29</f>
        <v>7.1013905764817061E-3</v>
      </c>
      <c r="I12" s="58">
        <f>A2.5.3!I12/A2.5.3!I$29</f>
        <v>3.5834925910250258E-4</v>
      </c>
      <c r="J12" s="62">
        <f>A2.5.3!J12/A2.5.3!J$29</f>
        <v>4.8955522794915298E-3</v>
      </c>
      <c r="K12" s="59">
        <f>A2.5.3!K12/A2.5.3!K$29</f>
        <v>2.381044110107358E-4</v>
      </c>
    </row>
    <row r="13" spans="1:11" s="1" customFormat="1" ht="13.35" customHeight="1">
      <c r="A13" s="26"/>
      <c r="B13" s="27" t="s">
        <v>28</v>
      </c>
      <c r="C13" s="27" t="s">
        <v>52</v>
      </c>
      <c r="D13" s="62">
        <f>A2.5.3!D13/A2.5.3!D$29</f>
        <v>1.5971370820769409E-2</v>
      </c>
      <c r="E13" s="58">
        <f>A2.5.3!E13/A2.5.3!E$29</f>
        <v>7.565564933064633E-4</v>
      </c>
      <c r="F13" s="62">
        <f>A2.5.3!F13/A2.5.3!F$29</f>
        <v>1.1416801530086803E-2</v>
      </c>
      <c r="G13" s="58">
        <f>A2.5.3!G13/A2.5.3!G$29</f>
        <v>4.9396959455663713E-4</v>
      </c>
      <c r="H13" s="62">
        <f>A2.5.3!H13/A2.5.3!H$29</f>
        <v>7.6954232482786553E-3</v>
      </c>
      <c r="I13" s="58">
        <f>A2.5.3!I13/A2.5.3!I$29</f>
        <v>4.2509706179896513E-4</v>
      </c>
      <c r="J13" s="62">
        <f>A2.5.3!J13/A2.5.3!J$29</f>
        <v>4.3670551584100584E-3</v>
      </c>
      <c r="K13" s="59">
        <f>A2.5.3!K13/A2.5.3!K$29</f>
        <v>4.114896181265607E-4</v>
      </c>
    </row>
    <row r="14" spans="1:11" s="1" customFormat="1" ht="13.35" customHeight="1">
      <c r="A14" s="26"/>
      <c r="B14" s="27" t="s">
        <v>29</v>
      </c>
      <c r="C14" s="27" t="s">
        <v>53</v>
      </c>
      <c r="D14" s="62">
        <f>A2.5.3!D14/A2.5.3!D$29</f>
        <v>2.1919215348421086E-2</v>
      </c>
      <c r="E14" s="58">
        <f>A2.5.3!E14/A2.5.3!E$29</f>
        <v>1.0218662426369175E-3</v>
      </c>
      <c r="F14" s="62">
        <f>A2.5.3!F14/A2.5.3!F$29</f>
        <v>1.2740915109607179E-2</v>
      </c>
      <c r="G14" s="58">
        <f>A2.5.3!G14/A2.5.3!G$29</f>
        <v>8.6157205534423788E-4</v>
      </c>
      <c r="H14" s="62">
        <f>A2.5.3!H14/A2.5.3!H$29</f>
        <v>7.8034291886053733E-3</v>
      </c>
      <c r="I14" s="58">
        <f>A2.5.3!I14/A2.5.3!I$29</f>
        <v>4.4228872693383603E-4</v>
      </c>
      <c r="J14" s="62">
        <f>A2.5.3!J14/A2.5.3!J$29</f>
        <v>3.643848571666991E-3</v>
      </c>
      <c r="K14" s="59">
        <f>A2.5.3!K14/A2.5.3!K$29</f>
        <v>3.4294795233819796E-4</v>
      </c>
    </row>
    <row r="15" spans="1:11" customFormat="1" ht="13.35" customHeight="1">
      <c r="A15" s="26"/>
      <c r="B15" s="27" t="s">
        <v>30</v>
      </c>
      <c r="C15" s="27" t="s">
        <v>54</v>
      </c>
      <c r="D15" s="62">
        <f>A2.5.3!D15/A2.5.3!D$29</f>
        <v>3.0236256999900592E-2</v>
      </c>
      <c r="E15" s="58">
        <f>A2.5.3!E15/A2.5.3!E$29</f>
        <v>1.4096387136516427E-3</v>
      </c>
      <c r="F15" s="62">
        <f>A2.5.3!F15/A2.5.3!F$29</f>
        <v>1.3241135795203767E-2</v>
      </c>
      <c r="G15" s="58">
        <f>A2.5.3!G15/A2.5.3!G$29</f>
        <v>4.9062931395164725E-4</v>
      </c>
      <c r="H15" s="62">
        <f>A2.5.3!H15/A2.5.3!H$29</f>
        <v>8.208451464830565E-3</v>
      </c>
      <c r="I15" s="58">
        <f>A2.5.3!I15/A2.5.3!I$29</f>
        <v>5.633777022340643E-4</v>
      </c>
      <c r="J15" s="62">
        <f>A2.5.3!J15/A2.5.3!J$29</f>
        <v>4.1723456927484628E-3</v>
      </c>
      <c r="K15" s="59">
        <f>A2.5.3!K15/A2.5.3!K$29</f>
        <v>2.8971488296865847E-4</v>
      </c>
    </row>
    <row r="16" spans="1:11" customFormat="1" ht="13.35" customHeight="1">
      <c r="A16" s="26"/>
      <c r="B16" s="27" t="s">
        <v>31</v>
      </c>
      <c r="C16" s="27" t="s">
        <v>55</v>
      </c>
      <c r="D16" s="62">
        <f>A2.5.3!D16/A2.5.3!D$29</f>
        <v>3.9862155803704565E-2</v>
      </c>
      <c r="E16" s="58">
        <f>A2.5.3!E16/A2.5.3!E$29</f>
        <v>1.8598063683043179E-3</v>
      </c>
      <c r="F16" s="62">
        <f>A2.5.3!F16/A2.5.3!F$29</f>
        <v>1.6360158893629542E-2</v>
      </c>
      <c r="G16" s="58">
        <f>A2.5.3!G16/A2.5.3!G$29</f>
        <v>5.8916072148614375E-4</v>
      </c>
      <c r="H16" s="62">
        <f>A2.5.3!H16/A2.5.3!H$29</f>
        <v>8.8834885918725529E-3</v>
      </c>
      <c r="I16" s="58">
        <f>A2.5.3!I16/A2.5.3!I$29</f>
        <v>7.8436561334799368E-4</v>
      </c>
      <c r="J16" s="62">
        <f>A2.5.3!J16/A2.5.3!J$29</f>
        <v>4.978999193346499E-3</v>
      </c>
      <c r="K16" s="59">
        <f>A2.5.3!K16/A2.5.3!K$29</f>
        <v>3.6666228093903345E-4</v>
      </c>
    </row>
    <row r="17" spans="1:11" customFormat="1" ht="13.35" customHeight="1">
      <c r="A17" s="26"/>
      <c r="B17" s="27" t="s">
        <v>32</v>
      </c>
      <c r="C17" s="27" t="s">
        <v>56</v>
      </c>
      <c r="D17" s="62">
        <f>A2.5.3!D17/A2.5.3!D$29</f>
        <v>5.1061996752708838E-2</v>
      </c>
      <c r="E17" s="58">
        <f>A2.5.3!E17/A2.5.3!E$29</f>
        <v>2.2886377168931118E-3</v>
      </c>
      <c r="F17" s="62">
        <f>A2.5.3!F17/A2.5.3!F$29</f>
        <v>2.2068559658672944E-2</v>
      </c>
      <c r="G17" s="58">
        <f>A2.5.3!G17/A2.5.3!G$29</f>
        <v>6.8275106555568815E-4</v>
      </c>
      <c r="H17" s="62">
        <f>A2.5.3!H17/A2.5.3!H$29</f>
        <v>1.1799648980693939E-2</v>
      </c>
      <c r="I17" s="58">
        <f>A2.5.3!I17/A2.5.3!I$29</f>
        <v>9.2733052853002636E-4</v>
      </c>
      <c r="J17" s="62">
        <f>A2.5.3!J17/A2.5.3!J$29</f>
        <v>6.7592000222525105E-3</v>
      </c>
      <c r="K17" s="59">
        <f>A2.5.3!K17/A2.5.3!K$29</f>
        <v>5.4352260292486266E-4</v>
      </c>
    </row>
    <row r="18" spans="1:11" customFormat="1" ht="13.35" customHeight="1">
      <c r="A18" s="26"/>
      <c r="B18" s="27" t="s">
        <v>33</v>
      </c>
      <c r="C18" s="27" t="s">
        <v>57</v>
      </c>
      <c r="D18" s="62">
        <f>A2.5.3!D18/A2.5.3!D$29</f>
        <v>5.419331323105471E-2</v>
      </c>
      <c r="E18" s="58">
        <f>A2.5.3!E18/A2.5.3!E$29</f>
        <v>2.3525962392694066E-3</v>
      </c>
      <c r="F18" s="62">
        <f>A2.5.3!F18/A2.5.3!F$29</f>
        <v>3.3838458143298514E-2</v>
      </c>
      <c r="G18" s="58">
        <f>A2.5.3!G18/A2.5.3!G$29</f>
        <v>9.9291165972201483E-4</v>
      </c>
      <c r="H18" s="62">
        <f>A2.5.3!H18/A2.5.3!H$29</f>
        <v>1.71189415417848E-2</v>
      </c>
      <c r="I18" s="58">
        <f>A2.5.3!I18/A2.5.3!I$29</f>
        <v>1.2903876339806556E-3</v>
      </c>
      <c r="J18" s="62">
        <f>A2.5.3!J18/A2.5.3!J$29</f>
        <v>8.7897415927234296E-3</v>
      </c>
      <c r="K18" s="59">
        <f>A2.5.3!K18/A2.5.3!K$29</f>
        <v>4.156056474617049E-4</v>
      </c>
    </row>
    <row r="19" spans="1:11" customFormat="1" ht="13.35" customHeight="1">
      <c r="A19" s="26"/>
      <c r="B19" s="27" t="s">
        <v>34</v>
      </c>
      <c r="C19" s="27" t="s">
        <v>58</v>
      </c>
      <c r="D19" s="62">
        <f>A2.5.3!D19/A2.5.3!D$29</f>
        <v>4.6621823122038504E-2</v>
      </c>
      <c r="E19" s="58">
        <f>A2.5.3!E19/A2.5.3!E$29</f>
        <v>2.1413921852217409E-3</v>
      </c>
      <c r="F19" s="62">
        <f>A2.5.3!F19/A2.5.3!F$29</f>
        <v>3.6986905987935852E-2</v>
      </c>
      <c r="G19" s="58">
        <f>A2.5.3!G19/A2.5.3!G$29</f>
        <v>9.8952377766472078E-4</v>
      </c>
      <c r="H19" s="62">
        <f>A2.5.3!H19/A2.5.3!H$29</f>
        <v>2.3302281625489401E-2</v>
      </c>
      <c r="I19" s="58">
        <f>A2.5.3!I19/A2.5.3!I$29</f>
        <v>1.7456975126101206E-3</v>
      </c>
      <c r="J19" s="62">
        <f>A2.5.3!J19/A2.5.3!J$29</f>
        <v>1.1626936663792385E-2</v>
      </c>
      <c r="K19" s="59">
        <f>A2.5.3!K19/A2.5.3!K$29</f>
        <v>4.9767180904845528E-4</v>
      </c>
    </row>
    <row r="20" spans="1:11" customFormat="1" ht="13.35" customHeight="1">
      <c r="A20" s="26"/>
      <c r="B20" s="27" t="s">
        <v>35</v>
      </c>
      <c r="C20" s="87" t="s">
        <v>59</v>
      </c>
      <c r="D20" s="62">
        <f>A2.5.3!D20/A2.5.3!D$29</f>
        <v>0.1638059577852149</v>
      </c>
      <c r="E20" s="58">
        <f>A2.5.3!E20/A2.5.3!E$29</f>
        <v>8.7155627143042751E-3</v>
      </c>
      <c r="F20" s="62">
        <f>A2.5.3!F20/A2.5.3!F$29</f>
        <v>0.14603501544799177</v>
      </c>
      <c r="G20" s="58">
        <f>A2.5.3!G20/A2.5.3!G$29</f>
        <v>4.9071105431493399E-3</v>
      </c>
      <c r="H20" s="62">
        <f>A2.5.3!H20/A2.5.3!H$29</f>
        <v>0.21663291481031458</v>
      </c>
      <c r="I20" s="58">
        <f>A2.5.3!I20/A2.5.3!I$29</f>
        <v>1.7989180381740712E-2</v>
      </c>
      <c r="J20" s="62">
        <f>A2.5.3!J20/A2.5.3!J$29</f>
        <v>0.15760340463408529</v>
      </c>
      <c r="K20" s="59">
        <f>A2.5.3!K20/A2.5.3!K$29</f>
        <v>4.868127740497912E-3</v>
      </c>
    </row>
    <row r="21" spans="1:11" customFormat="1" ht="13.35" customHeight="1">
      <c r="A21" s="26"/>
      <c r="B21" s="27" t="s">
        <v>36</v>
      </c>
      <c r="C21" s="27" t="s">
        <v>60</v>
      </c>
      <c r="D21" s="62">
        <f>A2.5.3!D21/A2.5.3!D$29</f>
        <v>0.16594320554027636</v>
      </c>
      <c r="E21" s="58">
        <f>A2.5.3!E21/A2.5.3!E$29</f>
        <v>1.3694980816678852E-2</v>
      </c>
      <c r="F21" s="62">
        <f>A2.5.3!F21/A2.5.3!F$29</f>
        <v>0.17810798881859644</v>
      </c>
      <c r="G21" s="58">
        <f>A2.5.3!G21/A2.5.3!G$29</f>
        <v>1.0269663603001701E-2</v>
      </c>
      <c r="H21" s="62">
        <f>A2.5.3!H21/A2.5.3!H$29</f>
        <v>0.17891184015120831</v>
      </c>
      <c r="I21" s="58">
        <f>A2.5.3!I21/A2.5.3!I$29</f>
        <v>1.9473465351179716E-2</v>
      </c>
      <c r="J21" s="62">
        <f>A2.5.3!J21/A2.5.3!J$29</f>
        <v>0.16224861617201192</v>
      </c>
      <c r="K21" s="59">
        <f>A2.5.3!K21/A2.5.3!K$29</f>
        <v>8.9173950699582456E-3</v>
      </c>
    </row>
    <row r="22" spans="1:11" customFormat="1" ht="13.35" customHeight="1">
      <c r="A22" s="26"/>
      <c r="B22" s="27" t="s">
        <v>37</v>
      </c>
      <c r="C22" s="27" t="s">
        <v>61</v>
      </c>
      <c r="D22" s="62">
        <f>A2.5.3!D22/A2.5.3!D$29</f>
        <v>6.6586036648000266E-2</v>
      </c>
      <c r="E22" s="58">
        <f>A2.5.3!E22/A2.5.3!E$29</f>
        <v>1.0219640692841335E-2</v>
      </c>
      <c r="F22" s="62">
        <f>A2.5.3!F22/A2.5.3!F$29</f>
        <v>7.924084154774165E-2</v>
      </c>
      <c r="G22" s="58">
        <f>A2.5.3!G22/A2.5.3!G$29</f>
        <v>9.4731599521164656E-3</v>
      </c>
      <c r="H22" s="62">
        <f>A2.5.3!H22/A2.5.3!H$29</f>
        <v>8.1544484946672061E-2</v>
      </c>
      <c r="I22" s="58">
        <f>A2.5.3!I22/A2.5.3!I$29</f>
        <v>1.3610621334414848E-2</v>
      </c>
      <c r="J22" s="62">
        <f>A2.5.3!J22/A2.5.3!J$29</f>
        <v>0.13646351979082641</v>
      </c>
      <c r="K22" s="59">
        <f>A2.5.3!K22/A2.5.3!K$29</f>
        <v>1.1001250250941367E-2</v>
      </c>
    </row>
    <row r="23" spans="1:11" customFormat="1" ht="13.35" customHeight="1">
      <c r="A23" s="26"/>
      <c r="B23" s="27" t="s">
        <v>38</v>
      </c>
      <c r="C23" s="27" t="s">
        <v>62</v>
      </c>
      <c r="D23" s="62">
        <f>A2.5.3!D23/A2.5.3!D$29</f>
        <v>5.5104542894065411E-2</v>
      </c>
      <c r="E23" s="58">
        <f>A2.5.3!E23/A2.5.3!E$29</f>
        <v>1.5390795106063511E-2</v>
      </c>
      <c r="F23" s="62">
        <f>A2.5.3!F23/A2.5.3!F$29</f>
        <v>6.9913196998675889E-2</v>
      </c>
      <c r="G23" s="58">
        <f>A2.5.3!G23/A2.5.3!G$29</f>
        <v>1.2860794187416561E-2</v>
      </c>
      <c r="H23" s="62">
        <f>A2.5.3!H23/A2.5.3!H$29</f>
        <v>4.5713514243283383E-2</v>
      </c>
      <c r="I23" s="58">
        <f>A2.5.3!I23/A2.5.3!I$29</f>
        <v>1.2518849672058116E-2</v>
      </c>
      <c r="J23" s="62">
        <f>A2.5.3!J23/A2.5.3!J$29</f>
        <v>7.0957692414675533E-2</v>
      </c>
      <c r="K23" s="59">
        <f>A2.5.3!K23/A2.5.3!K$29</f>
        <v>1.2307092175633878E-2</v>
      </c>
    </row>
    <row r="24" spans="1:11" customFormat="1" ht="13.35" customHeight="1">
      <c r="A24" s="26"/>
      <c r="B24" s="27" t="s">
        <v>39</v>
      </c>
      <c r="C24" s="27" t="s">
        <v>63</v>
      </c>
      <c r="D24" s="62">
        <f>A2.5.3!D24/A2.5.3!D$29</f>
        <v>8.1430796249047352E-2</v>
      </c>
      <c r="E24" s="58">
        <f>A2.5.3!E24/A2.5.3!E$29</f>
        <v>3.6453310766507485E-2</v>
      </c>
      <c r="F24" s="62">
        <f>A2.5.3!F24/A2.5.3!F$29</f>
        <v>9.9190819479181985E-2</v>
      </c>
      <c r="G24" s="58">
        <f>A2.5.3!G24/A2.5.3!G$29</f>
        <v>3.5969009994772087E-2</v>
      </c>
      <c r="H24" s="62">
        <f>A2.5.3!H24/A2.5.3!H$29</f>
        <v>0.12185770217361955</v>
      </c>
      <c r="I24" s="58">
        <f>A2.5.3!I24/A2.5.3!I$29</f>
        <v>6.8434226761917918E-2</v>
      </c>
      <c r="J24" s="62">
        <f>A2.5.3!J24/A2.5.3!J$29</f>
        <v>0.13192957080470641</v>
      </c>
      <c r="K24" s="59">
        <f>A2.5.3!K24/A2.5.3!K$29</f>
        <v>4.5946838617661696E-2</v>
      </c>
    </row>
    <row r="25" spans="1:11" customFormat="1" ht="13.35" customHeight="1">
      <c r="A25" s="26"/>
      <c r="B25" s="27" t="s">
        <v>40</v>
      </c>
      <c r="C25" s="27" t="s">
        <v>64</v>
      </c>
      <c r="D25" s="62">
        <f>A2.5.3!D25/A2.5.3!D$29</f>
        <v>4.65389840617648E-2</v>
      </c>
      <c r="E25" s="58">
        <f>A2.5.3!E25/A2.5.3!E$29</f>
        <v>4.0690098448896636E-2</v>
      </c>
      <c r="F25" s="62">
        <f>A2.5.3!F25/A2.5.3!F$29</f>
        <v>6.5146388112402531E-2</v>
      </c>
      <c r="G25" s="58">
        <f>A2.5.3!G25/A2.5.3!G$29</f>
        <v>4.0459303737132982E-2</v>
      </c>
      <c r="H25" s="62">
        <f>A2.5.3!H25/A2.5.3!H$29</f>
        <v>7.1985959227757523E-2</v>
      </c>
      <c r="I25" s="58">
        <f>A2.5.3!I25/A2.5.3!I$29</f>
        <v>5.2037104030214325E-2</v>
      </c>
      <c r="J25" s="62">
        <f>A2.5.3!J25/A2.5.3!J$29</f>
        <v>7.5602903952602149E-2</v>
      </c>
      <c r="K25" s="59">
        <f>A2.5.3!K25/A2.5.3!K$29</f>
        <v>4.6506017657419484E-2</v>
      </c>
    </row>
    <row r="26" spans="1:11" customFormat="1" ht="13.35" customHeight="1">
      <c r="A26" s="26"/>
      <c r="B26" s="27" t="s">
        <v>41</v>
      </c>
      <c r="C26" s="27" t="s">
        <v>65</v>
      </c>
      <c r="D26" s="62">
        <f>A2.5.3!D26/A2.5.3!D$29</f>
        <v>7.9492362238642769E-2</v>
      </c>
      <c r="E26" s="58">
        <f>A2.5.3!E26/A2.5.3!E$29</f>
        <v>0.16091473752157751</v>
      </c>
      <c r="F26" s="62">
        <f>A2.5.3!F26/A2.5.3!F$29</f>
        <v>0.10845961453582463</v>
      </c>
      <c r="G26" s="58">
        <f>A2.5.3!G26/A2.5.3!G$29</f>
        <v>0.1555047993101841</v>
      </c>
      <c r="H26" s="62">
        <f>A2.5.3!H26/A2.5.3!H$29</f>
        <v>0.10862697448359659</v>
      </c>
      <c r="I26" s="58">
        <f>A2.5.3!I26/A2.5.3!I$29</f>
        <v>0.15726933937402338</v>
      </c>
      <c r="J26" s="62">
        <f>A2.5.3!J26/A2.5.3!J$29</f>
        <v>0.1250312925926956</v>
      </c>
      <c r="K26" s="59">
        <f>A2.5.3!K26/A2.5.3!K$29</f>
        <v>0.16584360706255744</v>
      </c>
    </row>
    <row r="27" spans="1:11" customFormat="1" ht="13.35" customHeight="1">
      <c r="A27" s="26"/>
      <c r="B27" s="27" t="s">
        <v>42</v>
      </c>
      <c r="C27" s="27" t="s">
        <v>66</v>
      </c>
      <c r="D27" s="62">
        <f>A2.5.3!D27/A2.5.3!D$29</f>
        <v>4.1916564498492327E-2</v>
      </c>
      <c r="E27" s="58">
        <f>A2.5.3!E27/A2.5.3!E$29</f>
        <v>0.26270103692757518</v>
      </c>
      <c r="F27" s="62">
        <f>A2.5.3!F27/A2.5.3!F$29</f>
        <v>5.4788877445932027E-2</v>
      </c>
      <c r="G27" s="58">
        <f>A2.5.3!G27/A2.5.3!G$29</f>
        <v>0.26308392529988234</v>
      </c>
      <c r="H27" s="62">
        <f>A2.5.3!H27/A2.5.3!H$29</f>
        <v>4.6847576616713918E-2</v>
      </c>
      <c r="I27" s="58">
        <f>A2.5.3!I27/A2.5.3!I$29</f>
        <v>0.21916557352798979</v>
      </c>
      <c r="J27" s="62">
        <f>A2.5.3!J27/A2.5.3!J$29</f>
        <v>5.8245945870768548E-2</v>
      </c>
      <c r="K27" s="59">
        <f>A2.5.3!K27/A2.5.3!K$29</f>
        <v>0.30317092147106028</v>
      </c>
    </row>
    <row r="28" spans="1:11" customFormat="1" ht="13.35" customHeight="1">
      <c r="A28" s="26"/>
      <c r="B28" s="27" t="s">
        <v>43</v>
      </c>
      <c r="C28" s="27" t="s">
        <v>67</v>
      </c>
      <c r="D28" s="62">
        <f>A2.5.3!D28/A2.5.3!D$29</f>
        <v>1.4314589615295404E-2</v>
      </c>
      <c r="E28" s="58">
        <f>A2.5.3!E28/A2.5.3!E$29</f>
        <v>0.43694608250922523</v>
      </c>
      <c r="F28" s="62">
        <f>A2.5.3!F28/A2.5.3!F$29</f>
        <v>1.9273208768574371E-2</v>
      </c>
      <c r="G28" s="58">
        <f>A2.5.3!G28/A2.5.3!G$29</f>
        <v>0.46013298338558056</v>
      </c>
      <c r="H28" s="62">
        <f>A2.5.3!H28/A2.5.3!H$29</f>
        <v>1.379775887673822E-2</v>
      </c>
      <c r="I28" s="58">
        <f>A2.5.3!I28/A2.5.3!I$29</f>
        <v>0.43100010734756178</v>
      </c>
      <c r="J28" s="62">
        <f>A2.5.3!J28/A2.5.3!J$29</f>
        <v>1.7023170426413731E-2</v>
      </c>
      <c r="K28" s="59">
        <f>A2.5.3!K28/A2.5.3!K$29</f>
        <v>0.39459704444989963</v>
      </c>
    </row>
    <row r="29" spans="1:11" customFormat="1" ht="13.35" customHeight="1">
      <c r="A29" s="88"/>
      <c r="B29" s="75" t="s">
        <v>9</v>
      </c>
      <c r="C29" s="89"/>
      <c r="D29" s="63">
        <f>A2.5.3!D29/A2.5.3!D$29</f>
        <v>1</v>
      </c>
      <c r="E29" s="60">
        <f>A2.5.3!E29/A2.5.3!E$29</f>
        <v>1</v>
      </c>
      <c r="F29" s="63">
        <f>A2.5.3!F29/A2.5.3!F$29</f>
        <v>1</v>
      </c>
      <c r="G29" s="60">
        <f>A2.5.3!G29/A2.5.3!G$29</f>
        <v>1</v>
      </c>
      <c r="H29" s="63">
        <f>A2.5.3!H29/A2.5.3!H$29</f>
        <v>1</v>
      </c>
      <c r="I29" s="60">
        <f>A2.5.3!I29/A2.5.3!I$29</f>
        <v>1</v>
      </c>
      <c r="J29" s="63">
        <f>A2.5.3!J29/A2.5.3!J$29</f>
        <v>1</v>
      </c>
      <c r="K29" s="61">
        <f>A2.5.3!K29/A2.5.3!K$29</f>
        <v>1</v>
      </c>
    </row>
    <row r="30" spans="1:11" s="1" customFormat="1" ht="13.35" customHeight="1"/>
    <row r="31" spans="1:11">
      <c r="F31" s="560" t="s">
        <v>506</v>
      </c>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sheetPr codeName="Sheet12" enableFormatConditionsCalculation="0">
    <pageSetUpPr fitToPage="1"/>
  </sheetPr>
  <dimension ref="A1:K37"/>
  <sheetViews>
    <sheetView showGridLines="0" zoomScaleNormal="100" zoomScaleSheetLayoutView="90" workbookViewId="0"/>
  </sheetViews>
  <sheetFormatPr defaultColWidth="9.140625" defaultRowHeight="12.75"/>
  <cols>
    <col min="1" max="1" width="0.85546875" customWidth="1"/>
    <col min="2" max="2" width="2.7109375" style="427" customWidth="1"/>
    <col min="3" max="3" width="18.7109375" style="427" customWidth="1"/>
    <col min="4" max="4" width="14.5703125" style="427" customWidth="1"/>
    <col min="5" max="5" width="10.7109375" style="427" customWidth="1"/>
    <col min="6" max="6" width="10.7109375" style="428" customWidth="1"/>
    <col min="7" max="7" width="10.7109375" style="429" customWidth="1"/>
    <col min="8" max="8" width="13.28515625" style="429" customWidth="1"/>
    <col min="9" max="9" width="10.7109375" style="429" customWidth="1"/>
    <col min="10" max="10" width="14.140625" style="429" customWidth="1"/>
    <col min="11" max="11" width="10.7109375" style="429" customWidth="1"/>
    <col min="12" max="16384" width="9.140625" style="421"/>
  </cols>
  <sheetData>
    <row r="1" spans="1:11" s="410" customFormat="1" ht="15" customHeight="1">
      <c r="A1" s="455" t="s">
        <v>512</v>
      </c>
      <c r="B1" s="455"/>
      <c r="C1" s="53"/>
      <c r="D1" s="416"/>
      <c r="E1" s="416"/>
      <c r="F1" s="417"/>
      <c r="G1" s="418"/>
      <c r="H1" s="419"/>
      <c r="I1" s="419"/>
      <c r="J1" s="419"/>
      <c r="K1" s="419"/>
    </row>
    <row r="2" spans="1:11" s="410" customFormat="1" ht="15" customHeight="1">
      <c r="A2" s="90"/>
      <c r="B2" s="91" t="s">
        <v>183</v>
      </c>
      <c r="C2" s="92"/>
      <c r="D2" s="84" t="s">
        <v>467</v>
      </c>
      <c r="E2" s="67"/>
      <c r="F2" s="65" t="s">
        <v>468</v>
      </c>
      <c r="G2" s="67"/>
      <c r="H2" s="65" t="s">
        <v>469</v>
      </c>
      <c r="I2" s="67"/>
      <c r="J2" s="708" t="s">
        <v>470</v>
      </c>
      <c r="K2" s="709"/>
    </row>
    <row r="3" spans="1:11" ht="22.5">
      <c r="A3" s="420"/>
      <c r="B3" s="703" t="s">
        <v>95</v>
      </c>
      <c r="C3" s="702"/>
      <c r="D3" s="32" t="s">
        <v>18</v>
      </c>
      <c r="E3" s="134" t="s">
        <v>110</v>
      </c>
      <c r="F3" s="32" t="s">
        <v>18</v>
      </c>
      <c r="G3" s="134" t="s">
        <v>110</v>
      </c>
      <c r="H3" s="32" t="s">
        <v>18</v>
      </c>
      <c r="I3" s="134" t="s">
        <v>110</v>
      </c>
      <c r="J3" s="33" t="s">
        <v>18</v>
      </c>
      <c r="K3" s="86" t="s">
        <v>110</v>
      </c>
    </row>
    <row r="4" spans="1:11" ht="13.35" customHeight="1">
      <c r="A4" s="422"/>
      <c r="B4" s="315" t="s">
        <v>19</v>
      </c>
      <c r="C4" s="315" t="s">
        <v>44</v>
      </c>
      <c r="D4" s="423">
        <v>1118</v>
      </c>
      <c r="E4" s="424">
        <v>12.899295</v>
      </c>
      <c r="F4" s="423">
        <v>1124</v>
      </c>
      <c r="G4" s="424">
        <v>21.735776000000001</v>
      </c>
      <c r="H4" s="423">
        <v>1440</v>
      </c>
      <c r="I4" s="424">
        <v>19.733630000000002</v>
      </c>
      <c r="J4" s="423">
        <v>1323</v>
      </c>
      <c r="K4" s="425">
        <v>22.791005999999999</v>
      </c>
    </row>
    <row r="5" spans="1:11" ht="13.35" customHeight="1">
      <c r="A5" s="422"/>
      <c r="B5" s="315" t="s">
        <v>20</v>
      </c>
      <c r="C5" s="445" t="s">
        <v>137</v>
      </c>
      <c r="D5" s="423">
        <v>54</v>
      </c>
      <c r="E5" s="424">
        <v>0.75104499999999996</v>
      </c>
      <c r="F5" s="423">
        <v>79</v>
      </c>
      <c r="G5" s="424">
        <v>1.9789319999999999</v>
      </c>
      <c r="H5" s="423">
        <v>142</v>
      </c>
      <c r="I5" s="424">
        <v>3.454218</v>
      </c>
      <c r="J5" s="423">
        <v>205</v>
      </c>
      <c r="K5" s="425">
        <v>5.2492390000000002</v>
      </c>
    </row>
    <row r="6" spans="1:11" ht="13.35" customHeight="1">
      <c r="A6" s="422"/>
      <c r="B6" s="315" t="s">
        <v>21</v>
      </c>
      <c r="C6" s="315" t="s">
        <v>45</v>
      </c>
      <c r="D6" s="423">
        <v>8906</v>
      </c>
      <c r="E6" s="424">
        <v>22.779661000000001</v>
      </c>
      <c r="F6" s="423">
        <v>9600</v>
      </c>
      <c r="G6" s="424">
        <v>26.171437999999998</v>
      </c>
      <c r="H6" s="423">
        <v>14023</v>
      </c>
      <c r="I6" s="424">
        <v>32.741748000000001</v>
      </c>
      <c r="J6" s="423">
        <v>14450</v>
      </c>
      <c r="K6" s="425">
        <v>40.720331999999999</v>
      </c>
    </row>
    <row r="7" spans="1:11" ht="13.35" customHeight="1">
      <c r="A7" s="422"/>
      <c r="B7" s="315" t="s">
        <v>22</v>
      </c>
      <c r="C7" s="315" t="s">
        <v>46</v>
      </c>
      <c r="D7" s="423">
        <v>8454</v>
      </c>
      <c r="E7" s="424">
        <v>30.623176000000001</v>
      </c>
      <c r="F7" s="423">
        <v>8677</v>
      </c>
      <c r="G7" s="424">
        <v>32.149304000000001</v>
      </c>
      <c r="H7" s="423">
        <v>11768</v>
      </c>
      <c r="I7" s="424">
        <v>41.167897000000004</v>
      </c>
      <c r="J7" s="423">
        <v>12502</v>
      </c>
      <c r="K7" s="425">
        <v>40.558596999999999</v>
      </c>
    </row>
    <row r="8" spans="1:11" ht="13.35" customHeight="1">
      <c r="A8" s="422"/>
      <c r="B8" s="315" t="s">
        <v>23</v>
      </c>
      <c r="C8" s="315" t="s">
        <v>47</v>
      </c>
      <c r="D8" s="423">
        <v>11702</v>
      </c>
      <c r="E8" s="424">
        <v>50.142890000000001</v>
      </c>
      <c r="F8" s="423">
        <v>11358</v>
      </c>
      <c r="G8" s="424">
        <v>49.472192999999997</v>
      </c>
      <c r="H8" s="423">
        <v>14475</v>
      </c>
      <c r="I8" s="424">
        <v>54.360002000000001</v>
      </c>
      <c r="J8" s="423">
        <v>15521</v>
      </c>
      <c r="K8" s="425">
        <v>64.720343</v>
      </c>
    </row>
    <row r="9" spans="1:11" ht="13.35" customHeight="1">
      <c r="A9" s="422"/>
      <c r="B9" s="315" t="s">
        <v>24</v>
      </c>
      <c r="C9" s="315" t="s">
        <v>48</v>
      </c>
      <c r="D9" s="423">
        <v>25352</v>
      </c>
      <c r="E9" s="424">
        <v>117.62553200000001</v>
      </c>
      <c r="F9" s="423">
        <v>18671</v>
      </c>
      <c r="G9" s="424">
        <v>94.754958000000002</v>
      </c>
      <c r="H9" s="423">
        <v>17966</v>
      </c>
      <c r="I9" s="424">
        <v>78.919894999999997</v>
      </c>
      <c r="J9" s="423">
        <v>18399</v>
      </c>
      <c r="K9" s="425">
        <v>78.898190999999997</v>
      </c>
    </row>
    <row r="10" spans="1:11" s="426" customFormat="1" ht="13.35" customHeight="1">
      <c r="A10" s="422"/>
      <c r="B10" s="315" t="s">
        <v>25</v>
      </c>
      <c r="C10" s="315" t="s">
        <v>49</v>
      </c>
      <c r="D10" s="423">
        <v>42107</v>
      </c>
      <c r="E10" s="424">
        <v>216.72951800000001</v>
      </c>
      <c r="F10" s="423">
        <v>41996</v>
      </c>
      <c r="G10" s="424">
        <v>234.33992599999999</v>
      </c>
      <c r="H10" s="423">
        <v>37141</v>
      </c>
      <c r="I10" s="424">
        <v>195.34620000000001</v>
      </c>
      <c r="J10" s="423">
        <v>28882</v>
      </c>
      <c r="K10" s="425">
        <v>150.29339400000001</v>
      </c>
    </row>
    <row r="11" spans="1:11" s="1" customFormat="1" ht="13.35" customHeight="1">
      <c r="A11" s="26"/>
      <c r="B11" s="315" t="s">
        <v>26</v>
      </c>
      <c r="C11" s="315" t="s">
        <v>50</v>
      </c>
      <c r="D11" s="423">
        <v>48545</v>
      </c>
      <c r="E11" s="424">
        <v>275.923766</v>
      </c>
      <c r="F11" s="423">
        <v>57924</v>
      </c>
      <c r="G11" s="424">
        <v>371.79416199999997</v>
      </c>
      <c r="H11" s="423">
        <v>77009</v>
      </c>
      <c r="I11" s="424">
        <v>475.63197300000002</v>
      </c>
      <c r="J11" s="423">
        <v>56883</v>
      </c>
      <c r="K11" s="425">
        <v>370.80242700000002</v>
      </c>
    </row>
    <row r="12" spans="1:11" s="1" customFormat="1" ht="13.35" customHeight="1">
      <c r="A12" s="26"/>
      <c r="B12" s="315" t="s">
        <v>27</v>
      </c>
      <c r="C12" s="315" t="s">
        <v>51</v>
      </c>
      <c r="D12" s="423">
        <v>53410</v>
      </c>
      <c r="E12" s="424">
        <v>356.927074</v>
      </c>
      <c r="F12" s="423">
        <v>56729</v>
      </c>
      <c r="G12" s="424">
        <v>400.54618799999997</v>
      </c>
      <c r="H12" s="423">
        <v>75290</v>
      </c>
      <c r="I12" s="424">
        <v>513.735592</v>
      </c>
      <c r="J12" s="423">
        <v>91376</v>
      </c>
      <c r="K12" s="425">
        <v>704.06422699999996</v>
      </c>
    </row>
    <row r="13" spans="1:11" s="1" customFormat="1" ht="13.35" customHeight="1">
      <c r="A13" s="26"/>
      <c r="B13" s="246" t="s">
        <v>28</v>
      </c>
      <c r="C13" s="246" t="s">
        <v>52</v>
      </c>
      <c r="D13" s="423">
        <v>64518</v>
      </c>
      <c r="E13" s="424">
        <v>459.85534899999999</v>
      </c>
      <c r="F13" s="423">
        <v>60609</v>
      </c>
      <c r="G13" s="424">
        <v>485.42887999999999</v>
      </c>
      <c r="H13" s="423">
        <v>69903</v>
      </c>
      <c r="I13" s="424">
        <v>565.28541499999994</v>
      </c>
      <c r="J13" s="423">
        <v>77212</v>
      </c>
      <c r="K13" s="425">
        <v>694.67397900000003</v>
      </c>
    </row>
    <row r="14" spans="1:11" s="1" customFormat="1" ht="13.35" customHeight="1">
      <c r="A14" s="26"/>
      <c r="B14" s="246" t="s">
        <v>29</v>
      </c>
      <c r="C14" s="246" t="s">
        <v>53</v>
      </c>
      <c r="D14" s="423">
        <v>78587</v>
      </c>
      <c r="E14" s="424">
        <v>631.23994800000003</v>
      </c>
      <c r="F14" s="423">
        <v>68140</v>
      </c>
      <c r="G14" s="424">
        <v>597.49644000000001</v>
      </c>
      <c r="H14" s="423">
        <v>73021</v>
      </c>
      <c r="I14" s="424">
        <v>614.57985499999995</v>
      </c>
      <c r="J14" s="423">
        <v>66315</v>
      </c>
      <c r="K14" s="425">
        <v>633.03147200000001</v>
      </c>
    </row>
    <row r="15" spans="1:11" customFormat="1" ht="13.35" customHeight="1">
      <c r="A15" s="26"/>
      <c r="B15" s="246" t="s">
        <v>30</v>
      </c>
      <c r="C15" s="246" t="s">
        <v>54</v>
      </c>
      <c r="D15" s="423">
        <v>82973</v>
      </c>
      <c r="E15" s="424">
        <v>650.28465100000005</v>
      </c>
      <c r="F15" s="423">
        <v>87012</v>
      </c>
      <c r="G15" s="424">
        <v>813.21838600000001</v>
      </c>
      <c r="H15" s="423">
        <v>75769</v>
      </c>
      <c r="I15" s="424">
        <v>699.760403</v>
      </c>
      <c r="J15" s="423">
        <v>70511</v>
      </c>
      <c r="K15" s="425">
        <v>697.14812500000005</v>
      </c>
    </row>
    <row r="16" spans="1:11" customFormat="1" ht="13.35" customHeight="1">
      <c r="A16" s="26"/>
      <c r="B16" s="246" t="s">
        <v>31</v>
      </c>
      <c r="C16" s="246" t="s">
        <v>55</v>
      </c>
      <c r="D16" s="423">
        <v>107614</v>
      </c>
      <c r="E16" s="424">
        <v>858.314571</v>
      </c>
      <c r="F16" s="423">
        <v>75170</v>
      </c>
      <c r="G16" s="424">
        <v>746.54785400000003</v>
      </c>
      <c r="H16" s="423">
        <v>90573</v>
      </c>
      <c r="I16" s="424">
        <v>919.84792200000004</v>
      </c>
      <c r="J16" s="423">
        <v>71551</v>
      </c>
      <c r="K16" s="425">
        <v>765.27218700000003</v>
      </c>
    </row>
    <row r="17" spans="1:11" customFormat="1" ht="13.35" customHeight="1">
      <c r="A17" s="26"/>
      <c r="B17" s="246" t="s">
        <v>32</v>
      </c>
      <c r="C17" s="246" t="s">
        <v>56</v>
      </c>
      <c r="D17" s="423">
        <v>85761</v>
      </c>
      <c r="E17" s="424">
        <v>841.63755800000001</v>
      </c>
      <c r="F17" s="423">
        <v>89336</v>
      </c>
      <c r="G17" s="424">
        <v>861.40105900000003</v>
      </c>
      <c r="H17" s="423">
        <v>79538</v>
      </c>
      <c r="I17" s="424">
        <v>879.14606000000003</v>
      </c>
      <c r="J17" s="423">
        <v>84504</v>
      </c>
      <c r="K17" s="425">
        <v>983.88951999999995</v>
      </c>
    </row>
    <row r="18" spans="1:11" customFormat="1" ht="13.35" customHeight="1">
      <c r="A18" s="26"/>
      <c r="B18" s="246" t="s">
        <v>33</v>
      </c>
      <c r="C18" s="246" t="s">
        <v>57</v>
      </c>
      <c r="D18" s="423">
        <v>85026</v>
      </c>
      <c r="E18" s="424">
        <v>861.34088999999994</v>
      </c>
      <c r="F18" s="423">
        <v>107242</v>
      </c>
      <c r="G18" s="424">
        <v>1048.2749200000001</v>
      </c>
      <c r="H18" s="423">
        <v>74061</v>
      </c>
      <c r="I18" s="424">
        <v>856.24199099999998</v>
      </c>
      <c r="J18" s="423">
        <v>75218</v>
      </c>
      <c r="K18" s="425">
        <v>910.08932800000002</v>
      </c>
    </row>
    <row r="19" spans="1:11" customFormat="1" ht="13.35" customHeight="1">
      <c r="A19" s="26"/>
      <c r="B19" s="246" t="s">
        <v>34</v>
      </c>
      <c r="C19" s="246" t="s">
        <v>58</v>
      </c>
      <c r="D19" s="423">
        <v>84931</v>
      </c>
      <c r="E19" s="424">
        <v>904.18860600000005</v>
      </c>
      <c r="F19" s="423">
        <v>80982</v>
      </c>
      <c r="G19" s="424">
        <v>957.914987</v>
      </c>
      <c r="H19" s="423">
        <v>85563</v>
      </c>
      <c r="I19" s="424">
        <v>952.02621699999997</v>
      </c>
      <c r="J19" s="423">
        <v>72588</v>
      </c>
      <c r="K19" s="425">
        <v>888.51730699999996</v>
      </c>
    </row>
    <row r="20" spans="1:11" customFormat="1" ht="13.35" customHeight="1">
      <c r="A20" s="26"/>
      <c r="B20" s="246" t="s">
        <v>35</v>
      </c>
      <c r="C20" s="446" t="s">
        <v>59</v>
      </c>
      <c r="D20" s="423">
        <v>226072</v>
      </c>
      <c r="E20" s="424">
        <v>2857.2185399999998</v>
      </c>
      <c r="F20" s="423">
        <v>301963</v>
      </c>
      <c r="G20" s="424">
        <v>3943.1577400000001</v>
      </c>
      <c r="H20" s="423">
        <v>382187</v>
      </c>
      <c r="I20" s="424">
        <v>5002.0651550000002</v>
      </c>
      <c r="J20" s="423">
        <v>386874</v>
      </c>
      <c r="K20" s="425">
        <v>5406.6804220000004</v>
      </c>
    </row>
    <row r="21" spans="1:11" customFormat="1" ht="13.35" customHeight="1">
      <c r="A21" s="26"/>
      <c r="B21" s="246" t="s">
        <v>36</v>
      </c>
      <c r="C21" s="246" t="s">
        <v>60</v>
      </c>
      <c r="D21" s="423">
        <v>326155</v>
      </c>
      <c r="E21" s="424">
        <v>3991.9590730000014</v>
      </c>
      <c r="F21" s="423">
        <v>411285</v>
      </c>
      <c r="G21" s="424">
        <v>5075.3434860000043</v>
      </c>
      <c r="H21" s="423">
        <v>299665</v>
      </c>
      <c r="I21" s="424">
        <v>5425.6075240000027</v>
      </c>
      <c r="J21" s="423">
        <v>354518</v>
      </c>
      <c r="K21" s="425">
        <v>6419.5647970000036</v>
      </c>
    </row>
    <row r="22" spans="1:11" customFormat="1" ht="13.35" customHeight="1">
      <c r="A22" s="26"/>
      <c r="B22" s="246" t="s">
        <v>37</v>
      </c>
      <c r="C22" s="246" t="s">
        <v>61</v>
      </c>
      <c r="D22" s="423">
        <v>65932</v>
      </c>
      <c r="E22" s="424">
        <v>2022.6056610000001</v>
      </c>
      <c r="F22" s="423">
        <v>90546</v>
      </c>
      <c r="G22" s="424">
        <v>2914.9713470000002</v>
      </c>
      <c r="H22" s="423">
        <v>119462</v>
      </c>
      <c r="I22" s="424">
        <v>3670.2197590000001</v>
      </c>
      <c r="J22" s="423">
        <v>141865</v>
      </c>
      <c r="K22" s="425">
        <v>4272.4174380000004</v>
      </c>
    </row>
    <row r="23" spans="1:11" customFormat="1" ht="13.35" customHeight="1">
      <c r="A23" s="26"/>
      <c r="B23" s="246" t="s">
        <v>38</v>
      </c>
      <c r="C23" s="246" t="s">
        <v>62</v>
      </c>
      <c r="D23" s="423">
        <v>30945</v>
      </c>
      <c r="E23" s="424">
        <v>1214.7898829999999</v>
      </c>
      <c r="F23" s="423">
        <v>43032</v>
      </c>
      <c r="G23" s="424">
        <v>1930.79962</v>
      </c>
      <c r="H23" s="423">
        <v>53412</v>
      </c>
      <c r="I23" s="424">
        <v>2250.8505399999999</v>
      </c>
      <c r="J23" s="423">
        <v>65958</v>
      </c>
      <c r="K23" s="425">
        <v>2765.391779</v>
      </c>
    </row>
    <row r="24" spans="1:11" customFormat="1" ht="13.35" customHeight="1">
      <c r="A24" s="26"/>
      <c r="B24" s="246" t="s">
        <v>39</v>
      </c>
      <c r="C24" s="246" t="s">
        <v>63</v>
      </c>
      <c r="D24" s="423">
        <v>25978</v>
      </c>
      <c r="E24" s="424">
        <v>1180.0430100000001</v>
      </c>
      <c r="F24" s="423">
        <v>36872</v>
      </c>
      <c r="G24" s="424">
        <v>1913.8101630000001</v>
      </c>
      <c r="H24" s="423">
        <v>54464</v>
      </c>
      <c r="I24" s="424">
        <v>2948.0295930000002</v>
      </c>
      <c r="J24" s="423">
        <v>66996</v>
      </c>
      <c r="K24" s="425">
        <v>3781.3967240000002</v>
      </c>
    </row>
    <row r="25" spans="1:11" customFormat="1" ht="13.35" customHeight="1">
      <c r="A25" s="26"/>
      <c r="B25" s="246" t="s">
        <v>40</v>
      </c>
      <c r="C25" s="246" t="s">
        <v>64</v>
      </c>
      <c r="D25" s="423">
        <v>7545</v>
      </c>
      <c r="E25" s="424">
        <v>358.53880099999998</v>
      </c>
      <c r="F25" s="423">
        <v>10065</v>
      </c>
      <c r="G25" s="424">
        <v>565.63705700000003</v>
      </c>
      <c r="H25" s="423">
        <v>14230</v>
      </c>
      <c r="I25" s="424">
        <v>861.15507600000001</v>
      </c>
      <c r="J25" s="423">
        <v>18210</v>
      </c>
      <c r="K25" s="425">
        <v>1174.15147</v>
      </c>
    </row>
    <row r="26" spans="1:11" customFormat="1" ht="13.35" customHeight="1">
      <c r="A26" s="26"/>
      <c r="B26" s="246" t="s">
        <v>41</v>
      </c>
      <c r="C26" s="246" t="s">
        <v>65</v>
      </c>
      <c r="D26" s="423">
        <v>7050</v>
      </c>
      <c r="E26" s="424">
        <v>406.15464500000002</v>
      </c>
      <c r="F26" s="423">
        <v>9132</v>
      </c>
      <c r="G26" s="424">
        <v>694.55208300000004</v>
      </c>
      <c r="H26" s="423">
        <v>10914</v>
      </c>
      <c r="I26" s="424">
        <v>979.32522500000005</v>
      </c>
      <c r="J26" s="423">
        <v>14092</v>
      </c>
      <c r="K26" s="425">
        <v>1214.680239</v>
      </c>
    </row>
    <row r="27" spans="1:11" customFormat="1" ht="13.35" customHeight="1">
      <c r="A27" s="26"/>
      <c r="B27" s="246" t="s">
        <v>42</v>
      </c>
      <c r="C27" s="246" t="s">
        <v>66</v>
      </c>
      <c r="D27" s="423">
        <v>1802</v>
      </c>
      <c r="E27" s="424">
        <v>203.807828</v>
      </c>
      <c r="F27" s="423">
        <v>2223</v>
      </c>
      <c r="G27" s="424">
        <v>337.422303</v>
      </c>
      <c r="H27" s="423">
        <v>2559</v>
      </c>
      <c r="I27" s="424">
        <v>440.76075500000002</v>
      </c>
      <c r="J27" s="423">
        <v>3087</v>
      </c>
      <c r="K27" s="425">
        <v>460.85364199999998</v>
      </c>
    </row>
    <row r="28" spans="1:11" customFormat="1" ht="13.35" customHeight="1">
      <c r="A28" s="26"/>
      <c r="B28" s="246" t="s">
        <v>43</v>
      </c>
      <c r="C28" s="246" t="s">
        <v>67</v>
      </c>
      <c r="D28" s="423">
        <v>347</v>
      </c>
      <c r="E28" s="424">
        <v>76.036627999999993</v>
      </c>
      <c r="F28" s="423">
        <v>355</v>
      </c>
      <c r="G28" s="424">
        <v>110.313181</v>
      </c>
      <c r="H28" s="423">
        <v>354</v>
      </c>
      <c r="I28" s="424">
        <v>93.051851999999997</v>
      </c>
      <c r="J28" s="423">
        <v>430</v>
      </c>
      <c r="K28" s="425">
        <v>102.16520800000001</v>
      </c>
    </row>
    <row r="29" spans="1:11" s="1" customFormat="1" ht="13.35" customHeight="1">
      <c r="A29" s="88"/>
      <c r="B29" s="75" t="s">
        <v>9</v>
      </c>
      <c r="C29" s="89"/>
      <c r="D29" s="20">
        <f t="shared" ref="D29:K29" si="0">SUM(D4:D28)</f>
        <v>1480884</v>
      </c>
      <c r="E29" s="18">
        <f t="shared" si="0"/>
        <v>18602.417599</v>
      </c>
      <c r="F29" s="20">
        <f t="shared" si="0"/>
        <v>1680122</v>
      </c>
      <c r="G29" s="18">
        <f t="shared" si="0"/>
        <v>24229.232383000002</v>
      </c>
      <c r="H29" s="20">
        <f t="shared" si="0"/>
        <v>1734929</v>
      </c>
      <c r="I29" s="18">
        <f t="shared" si="0"/>
        <v>28573.044496999999</v>
      </c>
      <c r="J29" s="20">
        <f t="shared" si="0"/>
        <v>1809470</v>
      </c>
      <c r="K29" s="25">
        <f t="shared" si="0"/>
        <v>32648.021393000003</v>
      </c>
    </row>
    <row r="30" spans="1:11" s="1" customFormat="1" ht="12" customHeight="1">
      <c r="B30" s="29" t="s">
        <v>403</v>
      </c>
    </row>
    <row r="31" spans="1:11" customFormat="1" ht="13.35" customHeight="1">
      <c r="H31" s="1"/>
    </row>
    <row r="32" spans="1:11" customFormat="1" ht="13.35" customHeight="1">
      <c r="F32" s="560" t="s">
        <v>506</v>
      </c>
      <c r="H32" s="1"/>
    </row>
    <row r="33" spans="3:11" customFormat="1" ht="13.35" customHeight="1">
      <c r="H33" s="1"/>
    </row>
    <row r="34" spans="3:11" customFormat="1" ht="13.35" customHeight="1">
      <c r="C34" s="144" t="s">
        <v>267</v>
      </c>
      <c r="D34" s="99">
        <v>0</v>
      </c>
      <c r="E34" s="99">
        <v>0</v>
      </c>
      <c r="F34" s="99">
        <v>0</v>
      </c>
      <c r="G34" s="99">
        <v>0</v>
      </c>
      <c r="H34" s="99">
        <v>0</v>
      </c>
      <c r="I34" s="99">
        <v>0</v>
      </c>
      <c r="J34" s="99">
        <v>0</v>
      </c>
      <c r="K34" s="145">
        <v>0</v>
      </c>
    </row>
    <row r="35" spans="3:11" customFormat="1" ht="13.35" customHeight="1">
      <c r="H35" s="1"/>
    </row>
    <row r="36" spans="3:11" customFormat="1" ht="13.35" customHeight="1">
      <c r="C36" s="144" t="s">
        <v>268</v>
      </c>
      <c r="D36" s="99"/>
      <c r="E36" s="145"/>
      <c r="H36" s="1"/>
    </row>
    <row r="37" spans="3:11" customFormat="1" ht="13.35" customHeight="1">
      <c r="H37" s="1"/>
      <c r="K37" s="1"/>
    </row>
  </sheetData>
  <mergeCells count="2">
    <mergeCell ref="B3:C3"/>
    <mergeCell ref="J2:K2"/>
  </mergeCells>
  <phoneticPr fontId="7" type="noConversion"/>
  <hyperlinks>
    <hyperlink ref="F32"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sheetPr codeName="Sheet44"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style="1" customWidth="1"/>
    <col min="2" max="2" width="2.7109375" style="106" customWidth="1"/>
    <col min="3" max="3" width="18.7109375" style="106" customWidth="1"/>
    <col min="4" max="5" width="10.7109375" style="106" customWidth="1"/>
    <col min="6" max="6" width="10.7109375" style="68" customWidth="1"/>
    <col min="7" max="11" width="10.7109375" style="6" customWidth="1"/>
    <col min="12" max="16384" width="9.140625" style="51"/>
  </cols>
  <sheetData>
    <row r="1" spans="1:11" s="77" customFormat="1" ht="15" customHeight="1">
      <c r="A1" s="465" t="s">
        <v>513</v>
      </c>
      <c r="B1" s="465"/>
      <c r="C1" s="465"/>
      <c r="D1" s="465"/>
      <c r="E1" s="465"/>
      <c r="F1" s="465"/>
      <c r="G1" s="465"/>
      <c r="H1" s="465"/>
      <c r="I1" s="465"/>
      <c r="J1" s="465"/>
      <c r="K1" s="465"/>
    </row>
    <row r="2" spans="1:11" s="77"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90</v>
      </c>
      <c r="F3" s="32" t="s">
        <v>18</v>
      </c>
      <c r="G3" s="134" t="s">
        <v>90</v>
      </c>
      <c r="H3" s="32" t="s">
        <v>18</v>
      </c>
      <c r="I3" s="134" t="s">
        <v>90</v>
      </c>
      <c r="J3" s="33" t="s">
        <v>18</v>
      </c>
      <c r="K3" s="86" t="s">
        <v>90</v>
      </c>
    </row>
    <row r="4" spans="1:11" ht="13.35" customHeight="1">
      <c r="A4" s="49"/>
      <c r="B4" s="16" t="s">
        <v>19</v>
      </c>
      <c r="C4" s="16" t="s">
        <v>44</v>
      </c>
      <c r="D4" s="62">
        <f>A2.5.4!D4/A2.5.4!D$29</f>
        <v>7.5495447313901696E-4</v>
      </c>
      <c r="E4" s="58">
        <f>A2.5.4!E4/A2.5.4!E$29</f>
        <v>6.9342035417447137E-4</v>
      </c>
      <c r="F4" s="62">
        <f>A2.5.4!F4/A2.5.4!F$29</f>
        <v>6.6899903697469586E-4</v>
      </c>
      <c r="G4" s="58">
        <f>A2.5.4!G4/A2.5.4!G$29</f>
        <v>8.9708892367760325E-4</v>
      </c>
      <c r="H4" s="62">
        <f>A2.5.4!H4/A2.5.4!H$29</f>
        <v>8.3000514718469746E-4</v>
      </c>
      <c r="I4" s="58">
        <f>A2.5.4!I4/A2.5.4!I$29</f>
        <v>6.9063798931443638E-4</v>
      </c>
      <c r="J4" s="62">
        <f>A2.5.4!J4/A2.5.4!J$29</f>
        <v>7.3115332113823386E-4</v>
      </c>
      <c r="K4" s="59">
        <f>A2.5.4!K4/A2.5.4!K$29</f>
        <v>6.9808230415110463E-4</v>
      </c>
    </row>
    <row r="5" spans="1:11" ht="13.35" customHeight="1">
      <c r="A5" s="49"/>
      <c r="B5" s="16" t="s">
        <v>20</v>
      </c>
      <c r="C5" s="50" t="s">
        <v>137</v>
      </c>
      <c r="D5" s="62">
        <f>A2.5.4!D5/A2.5.4!D$29</f>
        <v>3.6464706216016922E-5</v>
      </c>
      <c r="E5" s="58">
        <f>A2.5.4!E5/A2.5.4!E$29</f>
        <v>4.0373515754230435E-5</v>
      </c>
      <c r="F5" s="62">
        <f>A2.5.4!F5/A2.5.4!F$29</f>
        <v>4.7020394947509762E-5</v>
      </c>
      <c r="G5" s="58">
        <f>A2.5.4!G5/A2.5.4!G$29</f>
        <v>8.1675389823264942E-5</v>
      </c>
      <c r="H5" s="62">
        <f>A2.5.4!H5/A2.5.4!H$29</f>
        <v>8.1847729791824334E-5</v>
      </c>
      <c r="I5" s="58">
        <f>A2.5.4!I5/A2.5.4!I$29</f>
        <v>1.2089079273168362E-4</v>
      </c>
      <c r="J5" s="62">
        <f>A2.5.4!J5/A2.5.4!J$29</f>
        <v>1.1329284265558424E-4</v>
      </c>
      <c r="K5" s="59">
        <f>A2.5.4!K5/A2.5.4!K$29</f>
        <v>1.6078276036432269E-4</v>
      </c>
    </row>
    <row r="6" spans="1:11" ht="13.35" customHeight="1">
      <c r="A6" s="49"/>
      <c r="B6" s="16" t="s">
        <v>21</v>
      </c>
      <c r="C6" s="16" t="s">
        <v>45</v>
      </c>
      <c r="D6" s="62">
        <f>A2.5.4!D6/A2.5.4!D$29</f>
        <v>6.0139754362934575E-3</v>
      </c>
      <c r="E6" s="58">
        <f>A2.5.4!E6/A2.5.4!E$29</f>
        <v>1.2245537913966921E-3</v>
      </c>
      <c r="F6" s="62">
        <f>A2.5.4!F6/A2.5.4!F$29</f>
        <v>5.713870778431566E-3</v>
      </c>
      <c r="G6" s="58">
        <f>A2.5.4!G6/A2.5.4!G$29</f>
        <v>1.0801596016868744E-3</v>
      </c>
      <c r="H6" s="62">
        <f>A2.5.4!H6/A2.5.4!H$29</f>
        <v>8.0827515131743147E-3</v>
      </c>
      <c r="I6" s="58">
        <f>A2.5.4!I6/A2.5.4!I$29</f>
        <v>1.1458963710863114E-3</v>
      </c>
      <c r="J6" s="62">
        <f>A2.5.4!J6/A2.5.4!J$29</f>
        <v>7.9857637871863039E-3</v>
      </c>
      <c r="K6" s="59">
        <f>A2.5.4!K6/A2.5.4!K$29</f>
        <v>1.2472526745137078E-3</v>
      </c>
    </row>
    <row r="7" spans="1:11" ht="13.35" customHeight="1">
      <c r="A7" s="49"/>
      <c r="B7" s="16" t="s">
        <v>22</v>
      </c>
      <c r="C7" s="16" t="s">
        <v>46</v>
      </c>
      <c r="D7" s="62">
        <f>A2.5.4!D7/A2.5.4!D$29</f>
        <v>5.708752339818649E-3</v>
      </c>
      <c r="E7" s="58">
        <f>A2.5.4!E7/A2.5.4!E$29</f>
        <v>1.6461933421839854E-3</v>
      </c>
      <c r="F7" s="62">
        <f>A2.5.4!F7/A2.5.4!F$29</f>
        <v>5.1645059108802816E-3</v>
      </c>
      <c r="G7" s="58">
        <f>A2.5.4!G7/A2.5.4!G$29</f>
        <v>1.3268808310475809E-3</v>
      </c>
      <c r="H7" s="62">
        <f>A2.5.4!H7/A2.5.4!H$29</f>
        <v>6.7829865083816106E-3</v>
      </c>
      <c r="I7" s="58">
        <f>A2.5.4!I7/A2.5.4!I$29</f>
        <v>1.4407949073933087E-3</v>
      </c>
      <c r="J7" s="62">
        <f>A2.5.4!J7/A2.5.4!J$29</f>
        <v>6.9092054579517762E-3</v>
      </c>
      <c r="K7" s="59">
        <f>A2.5.4!K7/A2.5.4!K$29</f>
        <v>1.2422987755299649E-3</v>
      </c>
    </row>
    <row r="8" spans="1:11" ht="13.35" customHeight="1">
      <c r="A8" s="49"/>
      <c r="B8" s="16" t="s">
        <v>23</v>
      </c>
      <c r="C8" s="16" t="s">
        <v>47</v>
      </c>
      <c r="D8" s="62">
        <f>A2.5.4!D8/A2.5.4!D$29</f>
        <v>7.9020368914783333E-3</v>
      </c>
      <c r="E8" s="58">
        <f>A2.5.4!E8/A2.5.4!E$29</f>
        <v>2.6955039436753372E-3</v>
      </c>
      <c r="F8" s="62">
        <f>A2.5.4!F8/A2.5.4!F$29</f>
        <v>6.7602233647318473E-3</v>
      </c>
      <c r="G8" s="58">
        <f>A2.5.4!G8/A2.5.4!G$29</f>
        <v>2.0418390569695165E-3</v>
      </c>
      <c r="H8" s="62">
        <f>A2.5.4!H8/A2.5.4!H$29</f>
        <v>8.3432809065961781E-3</v>
      </c>
      <c r="I8" s="58">
        <f>A2.5.4!I8/A2.5.4!I$29</f>
        <v>1.9024924699818908E-3</v>
      </c>
      <c r="J8" s="62">
        <f>A2.5.4!J8/A2.5.4!J$29</f>
        <v>8.577649809060112E-3</v>
      </c>
      <c r="K8" s="59">
        <f>A2.5.4!K8/A2.5.4!K$29</f>
        <v>1.9823664724097664E-3</v>
      </c>
    </row>
    <row r="9" spans="1:11" ht="13.35" customHeight="1">
      <c r="A9" s="49"/>
      <c r="B9" s="16" t="s">
        <v>24</v>
      </c>
      <c r="C9" s="16" t="s">
        <v>48</v>
      </c>
      <c r="D9" s="62">
        <f>A2.5.4!D9/A2.5.4!D$29</f>
        <v>1.711950429608261E-2</v>
      </c>
      <c r="E9" s="58">
        <f>A2.5.4!E9/A2.5.4!E$29</f>
        <v>6.3231314625644755E-3</v>
      </c>
      <c r="F9" s="62">
        <f>A2.5.4!F9/A2.5.4!F$29</f>
        <v>1.1112883469176642E-2</v>
      </c>
      <c r="G9" s="58">
        <f>A2.5.4!G9/A2.5.4!G$29</f>
        <v>3.910770118597859E-3</v>
      </c>
      <c r="H9" s="62">
        <f>A2.5.4!H9/A2.5.4!H$29</f>
        <v>1.0355466996055747E-2</v>
      </c>
      <c r="I9" s="58">
        <f>A2.5.4!I9/A2.5.4!I$29</f>
        <v>2.7620401112064246E-3</v>
      </c>
      <c r="J9" s="62">
        <f>A2.5.4!J9/A2.5.4!J$29</f>
        <v>1.0168170790341923E-2</v>
      </c>
      <c r="K9" s="59">
        <f>A2.5.4!K9/A2.5.4!K$29</f>
        <v>2.4166300937586496E-3</v>
      </c>
    </row>
    <row r="10" spans="1:11" ht="13.35" customHeight="1">
      <c r="A10" s="49"/>
      <c r="B10" s="16" t="s">
        <v>25</v>
      </c>
      <c r="C10" s="16" t="s">
        <v>49</v>
      </c>
      <c r="D10" s="62">
        <f>A2.5.4!D10/A2.5.4!D$29</f>
        <v>2.8433692308107859E-2</v>
      </c>
      <c r="E10" s="58">
        <f>A2.5.4!E10/A2.5.4!E$29</f>
        <v>1.1650610295494636E-2</v>
      </c>
      <c r="F10" s="62">
        <f>A2.5.4!F10/A2.5.4!F$29</f>
        <v>2.4995803876147089E-2</v>
      </c>
      <c r="G10" s="58">
        <f>A2.5.4!G10/A2.5.4!G$29</f>
        <v>9.6717849866519226E-3</v>
      </c>
      <c r="H10" s="62">
        <f>A2.5.4!H10/A2.5.4!H$29</f>
        <v>2.1407792480268646E-2</v>
      </c>
      <c r="I10" s="58">
        <f>A2.5.4!I10/A2.5.4!I$29</f>
        <v>6.8367303323420862E-3</v>
      </c>
      <c r="J10" s="62">
        <f>A2.5.4!J10/A2.5.4!J$29</f>
        <v>1.5961579910139433E-2</v>
      </c>
      <c r="K10" s="59">
        <f>A2.5.4!K10/A2.5.4!K$29</f>
        <v>4.6034457093385795E-3</v>
      </c>
    </row>
    <row r="11" spans="1:11" s="1" customFormat="1" ht="13.35" customHeight="1">
      <c r="A11" s="26"/>
      <c r="B11" s="16" t="s">
        <v>26</v>
      </c>
      <c r="C11" s="16" t="s">
        <v>50</v>
      </c>
      <c r="D11" s="62">
        <f>A2.5.4!D11/A2.5.4!D$29</f>
        <v>3.2781095615861879E-2</v>
      </c>
      <c r="E11" s="58">
        <f>A2.5.4!E11/A2.5.4!E$29</f>
        <v>1.4832683146239695E-2</v>
      </c>
      <c r="F11" s="62">
        <f>A2.5.4!F11/A2.5.4!F$29</f>
        <v>3.4476067809361466E-2</v>
      </c>
      <c r="G11" s="58">
        <f>A2.5.4!G11/A2.5.4!G$29</f>
        <v>1.5344859305607327E-2</v>
      </c>
      <c r="H11" s="62">
        <f>A2.5.4!H11/A2.5.4!H$29</f>
        <v>4.4387407208018308E-2</v>
      </c>
      <c r="I11" s="58">
        <f>A2.5.4!I11/A2.5.4!I$29</f>
        <v>1.664617759055877E-2</v>
      </c>
      <c r="J11" s="62">
        <f>A2.5.4!J11/A2.5.4!J$29</f>
        <v>3.1436276920866334E-2</v>
      </c>
      <c r="K11" s="59">
        <f>A2.5.4!K11/A2.5.4!K$29</f>
        <v>1.135757731032065E-2</v>
      </c>
    </row>
    <row r="12" spans="1:11" s="1" customFormat="1" ht="13.35" customHeight="1">
      <c r="A12" s="26"/>
      <c r="B12" s="16" t="s">
        <v>27</v>
      </c>
      <c r="C12" s="16" t="s">
        <v>51</v>
      </c>
      <c r="D12" s="62">
        <f>A2.5.4!D12/A2.5.4!D$29</f>
        <v>3.6066295536990069E-2</v>
      </c>
      <c r="E12" s="58">
        <f>A2.5.4!E12/A2.5.4!E$29</f>
        <v>1.9187133720683012E-2</v>
      </c>
      <c r="F12" s="62">
        <f>A2.5.4!F12/A2.5.4!F$29</f>
        <v>3.3764809936421281E-2</v>
      </c>
      <c r="G12" s="58">
        <f>A2.5.4!G12/A2.5.4!G$29</f>
        <v>1.6531526119706371E-2</v>
      </c>
      <c r="H12" s="62">
        <f>A2.5.4!H12/A2.5.4!H$29</f>
        <v>4.3396588563566575E-2</v>
      </c>
      <c r="I12" s="58">
        <f>A2.5.4!I12/A2.5.4!I$29</f>
        <v>1.7979728833374377E-2</v>
      </c>
      <c r="J12" s="62">
        <f>A2.5.4!J12/A2.5.4!J$29</f>
        <v>5.0498764831691051E-2</v>
      </c>
      <c r="K12" s="59">
        <f>A2.5.4!K12/A2.5.4!K$29</f>
        <v>2.1565295443936365E-2</v>
      </c>
    </row>
    <row r="13" spans="1:11" s="1" customFormat="1" ht="13.35" customHeight="1">
      <c r="A13" s="26"/>
      <c r="B13" s="27" t="s">
        <v>28</v>
      </c>
      <c r="C13" s="27" t="s">
        <v>52</v>
      </c>
      <c r="D13" s="62">
        <f>A2.5.4!D13/A2.5.4!D$29</f>
        <v>4.3567220660092214E-2</v>
      </c>
      <c r="E13" s="58">
        <f>A2.5.4!E13/A2.5.4!E$29</f>
        <v>2.4720192768101289E-2</v>
      </c>
      <c r="F13" s="62">
        <f>A2.5.4!F13/A2.5.4!F$29</f>
        <v>3.6074166042704039E-2</v>
      </c>
      <c r="G13" s="58">
        <f>A2.5.4!G13/A2.5.4!G$29</f>
        <v>2.0034843544634633E-2</v>
      </c>
      <c r="H13" s="62">
        <f>A2.5.4!H13/A2.5.4!H$29</f>
        <v>4.0291562363647157E-2</v>
      </c>
      <c r="I13" s="58">
        <f>A2.5.4!I13/A2.5.4!I$29</f>
        <v>1.9783870600815798E-2</v>
      </c>
      <c r="J13" s="62">
        <f>A2.5.4!J13/A2.5.4!J$29</f>
        <v>4.267105837620961E-2</v>
      </c>
      <c r="K13" s="59">
        <f>A2.5.4!K13/A2.5.4!K$29</f>
        <v>2.1277674706159794E-2</v>
      </c>
    </row>
    <row r="14" spans="1:11" s="1" customFormat="1" ht="13.35" customHeight="1">
      <c r="A14" s="26"/>
      <c r="B14" s="27" t="s">
        <v>29</v>
      </c>
      <c r="C14" s="27" t="s">
        <v>53</v>
      </c>
      <c r="D14" s="62">
        <f>A2.5.4!D14/A2.5.4!D$29</f>
        <v>5.3067627174039289E-2</v>
      </c>
      <c r="E14" s="58">
        <f>A2.5.4!E14/A2.5.4!E$29</f>
        <v>3.3933221025740937E-2</v>
      </c>
      <c r="F14" s="62">
        <f>A2.5.4!F14/A2.5.4!F$29</f>
        <v>4.0556578629409056E-2</v>
      </c>
      <c r="G14" s="58">
        <f>A2.5.4!G14/A2.5.4!G$29</f>
        <v>2.4660147319368751E-2</v>
      </c>
      <c r="H14" s="62">
        <f>A2.5.4!H14/A2.5.4!H$29</f>
        <v>4.2088754064287359E-2</v>
      </c>
      <c r="I14" s="58">
        <f>A2.5.4!I14/A2.5.4!I$29</f>
        <v>2.1509078427555287E-2</v>
      </c>
      <c r="J14" s="62">
        <f>A2.5.4!J14/A2.5.4!J$29</f>
        <v>3.6648852979049115E-2</v>
      </c>
      <c r="K14" s="59">
        <f>A2.5.4!K14/A2.5.4!K$29</f>
        <v>1.9389581511843994E-2</v>
      </c>
    </row>
    <row r="15" spans="1:11" s="1" customFormat="1" ht="13.35" customHeight="1">
      <c r="A15" s="26"/>
      <c r="B15" s="27" t="s">
        <v>30</v>
      </c>
      <c r="C15" s="27" t="s">
        <v>54</v>
      </c>
      <c r="D15" s="62">
        <f>A2.5.4!D15/A2.5.4!D$29</f>
        <v>5.6029371645584664E-2</v>
      </c>
      <c r="E15" s="58">
        <f>A2.5.4!E15/A2.5.4!E$29</f>
        <v>3.4956996720413212E-2</v>
      </c>
      <c r="F15" s="62">
        <f>A2.5.4!F15/A2.5.4!F$29</f>
        <v>5.1789096268009108E-2</v>
      </c>
      <c r="G15" s="58">
        <f>A2.5.4!G15/A2.5.4!G$29</f>
        <v>3.3563522489906857E-2</v>
      </c>
      <c r="H15" s="62">
        <f>A2.5.4!H15/A2.5.4!H$29</f>
        <v>4.3672680553498155E-2</v>
      </c>
      <c r="I15" s="58">
        <f>A2.5.4!I15/A2.5.4!I$29</f>
        <v>2.4490229001444725E-2</v>
      </c>
      <c r="J15" s="62">
        <f>A2.5.4!J15/A2.5.4!J$29</f>
        <v>3.8967764041404389E-2</v>
      </c>
      <c r="K15" s="59">
        <f>A2.5.4!K15/A2.5.4!K$29</f>
        <v>2.135345712403491E-2</v>
      </c>
    </row>
    <row r="16" spans="1:11" s="1" customFormat="1" ht="13.35" customHeight="1">
      <c r="A16" s="26"/>
      <c r="B16" s="27" t="s">
        <v>31</v>
      </c>
      <c r="C16" s="27" t="s">
        <v>55</v>
      </c>
      <c r="D16" s="62">
        <f>A2.5.4!D16/A2.5.4!D$29</f>
        <v>7.2668757309823057E-2</v>
      </c>
      <c r="E16" s="58">
        <f>A2.5.4!E16/A2.5.4!E$29</f>
        <v>4.6139947478984665E-2</v>
      </c>
      <c r="F16" s="62">
        <f>A2.5.4!F16/A2.5.4!F$29</f>
        <v>4.4740798584864669E-2</v>
      </c>
      <c r="G16" s="58">
        <f>A2.5.4!G16/A2.5.4!G$29</f>
        <v>3.0811865691783191E-2</v>
      </c>
      <c r="H16" s="62">
        <f>A2.5.4!H16/A2.5.4!H$29</f>
        <v>5.2205594580527502E-2</v>
      </c>
      <c r="I16" s="58">
        <f>A2.5.4!I16/A2.5.4!I$29</f>
        <v>3.219285652589729E-2</v>
      </c>
      <c r="J16" s="62">
        <f>A2.5.4!J16/A2.5.4!J$29</f>
        <v>3.9542517974876623E-2</v>
      </c>
      <c r="K16" s="59">
        <f>A2.5.4!K16/A2.5.4!K$29</f>
        <v>2.3440078582038681E-2</v>
      </c>
    </row>
    <row r="17" spans="1:11" s="1" customFormat="1" ht="13.35" customHeight="1">
      <c r="A17" s="26"/>
      <c r="B17" s="27" t="s">
        <v>32</v>
      </c>
      <c r="C17" s="27" t="s">
        <v>56</v>
      </c>
      <c r="D17" s="62">
        <f>A2.5.4!D17/A2.5.4!D$29</f>
        <v>5.7912030922070874E-2</v>
      </c>
      <c r="E17" s="58">
        <f>A2.5.4!E17/A2.5.4!E$29</f>
        <v>4.5243450402126413E-2</v>
      </c>
      <c r="F17" s="62">
        <f>A2.5.4!F17/A2.5.4!F$29</f>
        <v>5.3172329152287749E-2</v>
      </c>
      <c r="G17" s="58">
        <f>A2.5.4!G17/A2.5.4!G$29</f>
        <v>3.5552139885553551E-2</v>
      </c>
      <c r="H17" s="62">
        <f>A2.5.4!H17/A2.5.4!H$29</f>
        <v>4.5845103747761434E-2</v>
      </c>
      <c r="I17" s="58">
        <f>A2.5.4!I17/A2.5.4!I$29</f>
        <v>3.0768371921035757E-2</v>
      </c>
      <c r="J17" s="62">
        <f>A2.5.4!J17/A2.5.4!J$29</f>
        <v>4.6700967686670682E-2</v>
      </c>
      <c r="K17" s="59">
        <f>A2.5.4!K17/A2.5.4!K$29</f>
        <v>3.0136267927432618E-2</v>
      </c>
    </row>
    <row r="18" spans="1:11" s="1" customFormat="1" ht="13.35" customHeight="1">
      <c r="A18" s="26"/>
      <c r="B18" s="27" t="s">
        <v>33</v>
      </c>
      <c r="C18" s="27" t="s">
        <v>57</v>
      </c>
      <c r="D18" s="62">
        <f>A2.5.4!D18/A2.5.4!D$29</f>
        <v>5.7415705754130644E-2</v>
      </c>
      <c r="E18" s="58">
        <f>A2.5.4!E18/A2.5.4!E$29</f>
        <v>4.6302631656129606E-2</v>
      </c>
      <c r="F18" s="62">
        <f>A2.5.4!F18/A2.5.4!F$29</f>
        <v>6.3829888543808125E-2</v>
      </c>
      <c r="G18" s="58">
        <f>A2.5.4!G18/A2.5.4!G$29</f>
        <v>4.3264883650854041E-2</v>
      </c>
      <c r="H18" s="62">
        <f>A2.5.4!H18/A2.5.4!H$29</f>
        <v>4.2688202226142974E-2</v>
      </c>
      <c r="I18" s="58">
        <f>A2.5.4!I18/A2.5.4!I$29</f>
        <v>2.996677484227837E-2</v>
      </c>
      <c r="J18" s="62">
        <f>A2.5.4!J18/A2.5.4!J$29</f>
        <v>4.1569078238379194E-2</v>
      </c>
      <c r="K18" s="59">
        <f>A2.5.4!K18/A2.5.4!K$29</f>
        <v>2.7875788154045084E-2</v>
      </c>
    </row>
    <row r="19" spans="1:11" s="1" customFormat="1" ht="13.35" customHeight="1">
      <c r="A19" s="26"/>
      <c r="B19" s="27" t="s">
        <v>34</v>
      </c>
      <c r="C19" s="27" t="s">
        <v>58</v>
      </c>
      <c r="D19" s="62">
        <f>A2.5.4!D19/A2.5.4!D$29</f>
        <v>5.7351554882083947E-2</v>
      </c>
      <c r="E19" s="58">
        <f>A2.5.4!E19/A2.5.4!E$29</f>
        <v>4.8605972916585104E-2</v>
      </c>
      <c r="F19" s="62">
        <f>A2.5.4!F19/A2.5.4!F$29</f>
        <v>4.8200071185306781E-2</v>
      </c>
      <c r="G19" s="58">
        <f>A2.5.4!G19/A2.5.4!G$29</f>
        <v>3.9535507021349281E-2</v>
      </c>
      <c r="H19" s="62">
        <f>A2.5.4!H19/A2.5.4!H$29</f>
        <v>4.9317868339280743E-2</v>
      </c>
      <c r="I19" s="58">
        <f>A2.5.4!I19/A2.5.4!I$29</f>
        <v>3.3319033157280707E-2</v>
      </c>
      <c r="J19" s="62">
        <f>A2.5.4!J19/A2.5.4!J$29</f>
        <v>4.0115613964309994E-2</v>
      </c>
      <c r="K19" s="59">
        <f>A2.5.4!K19/A2.5.4!K$29</f>
        <v>2.7215043028319785E-2</v>
      </c>
    </row>
    <row r="20" spans="1:11" s="1" customFormat="1" ht="13.35" customHeight="1">
      <c r="A20" s="26"/>
      <c r="B20" s="27" t="s">
        <v>35</v>
      </c>
      <c r="C20" s="87" t="s">
        <v>59</v>
      </c>
      <c r="D20" s="62">
        <f>A2.5.4!D20/A2.5.4!D$29</f>
        <v>0.15266016784569217</v>
      </c>
      <c r="E20" s="58">
        <f>A2.5.4!E20/A2.5.4!E$29</f>
        <v>0.15359393609966018</v>
      </c>
      <c r="F20" s="62">
        <f>A2.5.4!F20/A2.5.4!F$29</f>
        <v>0.17972682936120116</v>
      </c>
      <c r="G20" s="58">
        <f>A2.5.4!G20/A2.5.4!G$29</f>
        <v>0.16274381613371477</v>
      </c>
      <c r="H20" s="62">
        <f>A2.5.4!H20/A2.5.4!H$29</f>
        <v>0.22028970637991527</v>
      </c>
      <c r="I20" s="58">
        <f>A2.5.4!I20/A2.5.4!I$29</f>
        <v>0.17506237935286131</v>
      </c>
      <c r="J20" s="62">
        <f>A2.5.4!J20/A2.5.4!J$29</f>
        <v>0.21380514736359266</v>
      </c>
      <c r="K20" s="59">
        <f>A2.5.4!K20/A2.5.4!K$29</f>
        <v>0.16560514822375227</v>
      </c>
    </row>
    <row r="21" spans="1:11" s="1" customFormat="1" ht="13.35" customHeight="1">
      <c r="A21" s="26"/>
      <c r="B21" s="27" t="s">
        <v>36</v>
      </c>
      <c r="C21" s="27" t="s">
        <v>60</v>
      </c>
      <c r="D21" s="62">
        <f>A2.5.4!D21/A2.5.4!D$29</f>
        <v>0.22024344918305552</v>
      </c>
      <c r="E21" s="58">
        <f>A2.5.4!E21/A2.5.4!E$29</f>
        <v>0.21459356300089699</v>
      </c>
      <c r="F21" s="62">
        <f>A2.5.4!F21/A2.5.4!F$29</f>
        <v>0.24479472324033613</v>
      </c>
      <c r="G21" s="58">
        <f>A2.5.4!G21/A2.5.4!G$29</f>
        <v>0.20947190590986392</v>
      </c>
      <c r="H21" s="62">
        <f>A2.5.4!H21/A2.5.4!H$29</f>
        <v>0.17272464752159886</v>
      </c>
      <c r="I21" s="58">
        <f>A2.5.4!I21/A2.5.4!I$29</f>
        <v>0.18988552390941957</v>
      </c>
      <c r="J21" s="62">
        <f>A2.5.4!J21/A2.5.4!J$29</f>
        <v>0.19592366825645077</v>
      </c>
      <c r="K21" s="59">
        <f>A2.5.4!K21/A2.5.4!K$29</f>
        <v>0.19662952065990774</v>
      </c>
    </row>
    <row r="22" spans="1:11" s="1" customFormat="1" ht="13.35" customHeight="1">
      <c r="A22" s="26"/>
      <c r="B22" s="27" t="s">
        <v>37</v>
      </c>
      <c r="C22" s="27" t="s">
        <v>61</v>
      </c>
      <c r="D22" s="62">
        <f>A2.5.4!D22/A2.5.4!D$29</f>
        <v>4.4522055745081994E-2</v>
      </c>
      <c r="E22" s="58">
        <f>A2.5.4!E22/A2.5.4!E$29</f>
        <v>0.1087281075288154</v>
      </c>
      <c r="F22" s="62">
        <f>A2.5.4!F22/A2.5.4!F$29</f>
        <v>5.3892514948319231E-2</v>
      </c>
      <c r="G22" s="58">
        <f>A2.5.4!G22/A2.5.4!G$29</f>
        <v>0.12030803538973181</v>
      </c>
      <c r="H22" s="62">
        <f>A2.5.4!H22/A2.5.4!H$29</f>
        <v>6.8856996453457178E-2</v>
      </c>
      <c r="I22" s="58">
        <f>A2.5.4!I22/A2.5.4!I$29</f>
        <v>0.12845042674347676</v>
      </c>
      <c r="J22" s="62">
        <f>A2.5.4!J22/A2.5.4!J$29</f>
        <v>7.8401410357729059E-2</v>
      </c>
      <c r="K22" s="59">
        <f>A2.5.4!K22/A2.5.4!K$29</f>
        <v>0.1308629820646969</v>
      </c>
    </row>
    <row r="23" spans="1:11" s="1" customFormat="1" ht="13.35" customHeight="1">
      <c r="A23" s="26"/>
      <c r="B23" s="27" t="s">
        <v>38</v>
      </c>
      <c r="C23" s="27" t="s">
        <v>62</v>
      </c>
      <c r="D23" s="62">
        <f>A2.5.4!D23/A2.5.4!D$29</f>
        <v>2.0896302478789697E-2</v>
      </c>
      <c r="E23" s="58">
        <f>A2.5.4!E23/A2.5.4!E$29</f>
        <v>6.5302796076640204E-2</v>
      </c>
      <c r="F23" s="62">
        <f>A2.5.4!F23/A2.5.4!F$29</f>
        <v>2.5612425764319494E-2</v>
      </c>
      <c r="G23" s="58">
        <f>A2.5.4!G23/A2.5.4!G$29</f>
        <v>7.968884814339848E-2</v>
      </c>
      <c r="H23" s="62">
        <f>A2.5.4!H23/A2.5.4!H$29</f>
        <v>3.0786274250992403E-2</v>
      </c>
      <c r="I23" s="58">
        <f>A2.5.4!I23/A2.5.4!I$29</f>
        <v>7.8775313573473976E-2</v>
      </c>
      <c r="J23" s="62">
        <f>A2.5.4!J23/A2.5.4!J$29</f>
        <v>3.645155763842451E-2</v>
      </c>
      <c r="K23" s="59">
        <f>A2.5.4!K23/A2.5.4!K$29</f>
        <v>8.4703196733169325E-2</v>
      </c>
    </row>
    <row r="24" spans="1:11" s="1" customFormat="1" ht="13.35" customHeight="1">
      <c r="A24" s="26"/>
      <c r="B24" s="27" t="s">
        <v>39</v>
      </c>
      <c r="C24" s="27" t="s">
        <v>63</v>
      </c>
      <c r="D24" s="62">
        <f>A2.5.4!D24/A2.5.4!D$29</f>
        <v>1.7542224779253473E-2</v>
      </c>
      <c r="E24" s="58">
        <f>A2.5.4!E24/A2.5.4!E$29</f>
        <v>6.3434927407684638E-2</v>
      </c>
      <c r="F24" s="62">
        <f>A2.5.4!F24/A2.5.4!F$29</f>
        <v>2.1946025348159242E-2</v>
      </c>
      <c r="G24" s="58">
        <f>A2.5.4!G24/A2.5.4!G$29</f>
        <v>7.8987651476024059E-2</v>
      </c>
      <c r="H24" s="62">
        <f>A2.5.4!H24/A2.5.4!H$29</f>
        <v>3.1392639122407889E-2</v>
      </c>
      <c r="I24" s="58">
        <f>A2.5.4!I24/A2.5.4!I$29</f>
        <v>0.10317520043443483</v>
      </c>
      <c r="J24" s="62">
        <f>A2.5.4!J24/A2.5.4!J$29</f>
        <v>3.7025206275870838E-2</v>
      </c>
      <c r="K24" s="59">
        <f>A2.5.4!K24/A2.5.4!K$29</f>
        <v>0.11582315137819536</v>
      </c>
    </row>
    <row r="25" spans="1:11" s="1" customFormat="1" ht="13.35" customHeight="1">
      <c r="A25" s="26"/>
      <c r="B25" s="27" t="s">
        <v>40</v>
      </c>
      <c r="C25" s="27" t="s">
        <v>64</v>
      </c>
      <c r="D25" s="62">
        <f>A2.5.4!D25/A2.5.4!D$29</f>
        <v>5.0949297851823642E-3</v>
      </c>
      <c r="E25" s="58">
        <f>A2.5.4!E25/A2.5.4!E$29</f>
        <v>1.9273774448503603E-2</v>
      </c>
      <c r="F25" s="62">
        <f>A2.5.4!F25/A2.5.4!F$29</f>
        <v>5.9906363942618451E-3</v>
      </c>
      <c r="G25" s="58">
        <f>A2.5.4!G25/A2.5.4!G$29</f>
        <v>2.3345232240905366E-2</v>
      </c>
      <c r="H25" s="62">
        <f>A2.5.4!H25/A2.5.4!H$29</f>
        <v>8.2020647530821143E-3</v>
      </c>
      <c r="I25" s="58">
        <f>A2.5.4!I25/A2.5.4!I$29</f>
        <v>3.0138723092333272E-2</v>
      </c>
      <c r="J25" s="62">
        <f>A2.5.4!J25/A2.5.4!J$29</f>
        <v>1.0063720315893605E-2</v>
      </c>
      <c r="K25" s="59">
        <f>A2.5.4!K25/A2.5.4!K$29</f>
        <v>3.5963939617233515E-2</v>
      </c>
    </row>
    <row r="26" spans="1:11" s="1" customFormat="1" ht="13.35" customHeight="1">
      <c r="A26" s="26"/>
      <c r="B26" s="27" t="s">
        <v>41</v>
      </c>
      <c r="C26" s="27" t="s">
        <v>65</v>
      </c>
      <c r="D26" s="62">
        <f>A2.5.4!D26/A2.5.4!D$29</f>
        <v>4.7606699782022088E-3</v>
      </c>
      <c r="E26" s="58">
        <f>A2.5.4!E26/A2.5.4!E$29</f>
        <v>2.1833433360932263E-2</v>
      </c>
      <c r="F26" s="62">
        <f>A2.5.4!F26/A2.5.4!F$29</f>
        <v>5.4353195779830278E-3</v>
      </c>
      <c r="G26" s="58">
        <f>A2.5.4!G26/A2.5.4!G$29</f>
        <v>2.8665872365288791E-2</v>
      </c>
      <c r="H26" s="62">
        <f>A2.5.4!H26/A2.5.4!H$29</f>
        <v>6.2907473447040198E-3</v>
      </c>
      <c r="I26" s="58">
        <f>A2.5.4!I26/A2.5.4!I$29</f>
        <v>3.427444440170957E-2</v>
      </c>
      <c r="J26" s="62">
        <f>A2.5.4!J26/A2.5.4!J$29</f>
        <v>7.7879157985487465E-3</v>
      </c>
      <c r="K26" s="59">
        <f>A2.5.4!K26/A2.5.4!K$29</f>
        <v>3.7205324769250404E-2</v>
      </c>
    </row>
    <row r="27" spans="1:11" s="1" customFormat="1" ht="13.35" customHeight="1">
      <c r="A27" s="26"/>
      <c r="B27" s="27" t="s">
        <v>42</v>
      </c>
      <c r="C27" s="27" t="s">
        <v>66</v>
      </c>
      <c r="D27" s="62">
        <f>A2.5.4!D27/A2.5.4!D$29</f>
        <v>1.2168407518752312E-3</v>
      </c>
      <c r="E27" s="58">
        <f>A2.5.4!E27/A2.5.4!E$29</f>
        <v>1.0955986065539996E-2</v>
      </c>
      <c r="F27" s="62">
        <f>A2.5.4!F27/A2.5.4!F$29</f>
        <v>1.3231182021305595E-3</v>
      </c>
      <c r="G27" s="58">
        <f>A2.5.4!G27/A2.5.4!G$29</f>
        <v>1.392624816445882E-2</v>
      </c>
      <c r="H27" s="62">
        <f>A2.5.4!H27/A2.5.4!H$29</f>
        <v>1.4749883136428062E-3</v>
      </c>
      <c r="I27" s="58">
        <f>A2.5.4!I27/A2.5.4!I$29</f>
        <v>1.5425753984538725E-2</v>
      </c>
      <c r="J27" s="62">
        <f>A2.5.4!J27/A2.5.4!J$29</f>
        <v>1.7060244159892123E-3</v>
      </c>
      <c r="K27" s="59">
        <f>A2.5.4!K27/A2.5.4!K$29</f>
        <v>1.4115821490450589E-2</v>
      </c>
    </row>
    <row r="28" spans="1:11" s="1" customFormat="1" ht="13.35" customHeight="1">
      <c r="A28" s="26"/>
      <c r="B28" s="27" t="s">
        <v>43</v>
      </c>
      <c r="C28" s="27" t="s">
        <v>67</v>
      </c>
      <c r="D28" s="62">
        <f>A2.5.4!D28/A2.5.4!D$29</f>
        <v>2.3431950105477539E-4</v>
      </c>
      <c r="E28" s="58">
        <f>A2.5.4!E28/A2.5.4!E$29</f>
        <v>4.0874594710790411E-3</v>
      </c>
      <c r="F28" s="62">
        <f>A2.5.4!F28/A2.5.4!F$29</f>
        <v>2.1129417982741731E-4</v>
      </c>
      <c r="G28" s="58">
        <f>A2.5.4!G28/A2.5.4!G$29</f>
        <v>4.5528962393954842E-3</v>
      </c>
      <c r="H28" s="62">
        <f>A2.5.4!H28/A2.5.4!H$29</f>
        <v>2.0404293201623812E-4</v>
      </c>
      <c r="I28" s="58">
        <f>A2.5.4!I28/A2.5.4!I$29</f>
        <v>3.2566306334548944E-3</v>
      </c>
      <c r="J28" s="62">
        <f>A2.5.4!J28/A2.5.4!J$29</f>
        <v>2.3763864557024985E-4</v>
      </c>
      <c r="K28" s="59">
        <f>A2.5.4!K28/A2.5.4!K$29</f>
        <v>3.1292924851459773E-3</v>
      </c>
    </row>
    <row r="29" spans="1:11" s="1" customFormat="1" ht="13.35" customHeight="1">
      <c r="A29" s="88"/>
      <c r="B29" s="75" t="s">
        <v>9</v>
      </c>
      <c r="C29" s="89"/>
      <c r="D29" s="63">
        <f>A2.5.4!D29/A2.5.4!D$29</f>
        <v>1</v>
      </c>
      <c r="E29" s="60">
        <f>A2.5.4!E29/A2.5.4!E$29</f>
        <v>1</v>
      </c>
      <c r="F29" s="63">
        <f>A2.5.4!F29/A2.5.4!F$29</f>
        <v>1</v>
      </c>
      <c r="G29" s="60">
        <f>A2.5.4!G29/A2.5.4!G$29</f>
        <v>1</v>
      </c>
      <c r="H29" s="63">
        <f>A2.5.4!H29/A2.5.4!H$29</f>
        <v>1</v>
      </c>
      <c r="I29" s="60">
        <f>A2.5.4!I29/A2.5.4!I$29</f>
        <v>1</v>
      </c>
      <c r="J29" s="63">
        <f>A2.5.4!J29/A2.5.4!J$29</f>
        <v>1</v>
      </c>
      <c r="K29" s="61">
        <f>A2.5.4!K29/A2.5.4!K$29</f>
        <v>1</v>
      </c>
    </row>
    <row r="30" spans="1:11" s="1" customFormat="1" ht="13.35" customHeight="1"/>
    <row r="31" spans="1:11">
      <c r="F31" s="560" t="s">
        <v>506</v>
      </c>
    </row>
  </sheetData>
  <mergeCells count="2">
    <mergeCell ref="B3:C3"/>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sheetPr codeName="Sheet63" enableFormatConditionsCalculation="0">
    <pageSetUpPr fitToPage="1"/>
  </sheetPr>
  <dimension ref="A1:K60"/>
  <sheetViews>
    <sheetView showGridLines="0" zoomScaleNormal="100" zoomScaleSheetLayoutView="90" workbookViewId="0"/>
  </sheetViews>
  <sheetFormatPr defaultColWidth="9.140625" defaultRowHeight="12.75"/>
  <cols>
    <col min="1" max="1" width="0.85546875" customWidth="1"/>
    <col min="2" max="2" width="4.28515625" style="2" customWidth="1"/>
    <col min="3" max="3" width="34.7109375" style="2" customWidth="1"/>
    <col min="4" max="5" width="10.28515625" style="2" customWidth="1"/>
    <col min="6" max="7" width="10.28515625" style="14" customWidth="1"/>
    <col min="8" max="11" width="10.28515625" style="6" customWidth="1"/>
    <col min="12" max="16384" width="9.140625" style="10"/>
  </cols>
  <sheetData>
    <row r="1" spans="1:11" s="8" customFormat="1" ht="15" customHeight="1">
      <c r="A1" s="53" t="s">
        <v>436</v>
      </c>
      <c r="B1" s="455"/>
      <c r="C1" s="53"/>
      <c r="D1" s="78"/>
      <c r="E1" s="78"/>
      <c r="F1" s="66"/>
      <c r="G1" s="66"/>
      <c r="H1" s="4"/>
      <c r="I1" s="4"/>
      <c r="J1" s="4"/>
      <c r="K1" s="4"/>
    </row>
    <row r="2" spans="1:11" s="8" customFormat="1" ht="15" customHeight="1">
      <c r="A2" s="90"/>
      <c r="B2" s="91" t="s">
        <v>183</v>
      </c>
      <c r="C2" s="92"/>
      <c r="D2" s="84" t="s">
        <v>467</v>
      </c>
      <c r="E2" s="67"/>
      <c r="F2" s="65" t="s">
        <v>468</v>
      </c>
      <c r="G2" s="67"/>
      <c r="H2" s="65" t="s">
        <v>469</v>
      </c>
      <c r="I2" s="67"/>
      <c r="J2" s="708" t="s">
        <v>470</v>
      </c>
      <c r="K2" s="709"/>
    </row>
    <row r="3" spans="1:11" ht="22.5">
      <c r="A3" s="203"/>
      <c r="B3" s="204" t="s">
        <v>100</v>
      </c>
      <c r="C3" s="206"/>
      <c r="D3" s="32" t="s">
        <v>18</v>
      </c>
      <c r="E3" s="134" t="s">
        <v>111</v>
      </c>
      <c r="F3" s="32" t="s">
        <v>18</v>
      </c>
      <c r="G3" s="134" t="s">
        <v>111</v>
      </c>
      <c r="H3" s="32" t="s">
        <v>18</v>
      </c>
      <c r="I3" s="134" t="s">
        <v>111</v>
      </c>
      <c r="J3" s="33" t="s">
        <v>18</v>
      </c>
      <c r="K3" s="86" t="s">
        <v>111</v>
      </c>
    </row>
    <row r="4" spans="1:11" ht="13.35" customHeight="1">
      <c r="A4" s="49"/>
      <c r="B4" s="167">
        <v>3801</v>
      </c>
      <c r="C4" s="294" t="s">
        <v>297</v>
      </c>
      <c r="D4" s="19">
        <v>56139</v>
      </c>
      <c r="E4" s="15">
        <v>314.407331</v>
      </c>
      <c r="F4" s="19">
        <v>64379</v>
      </c>
      <c r="G4" s="15">
        <v>237.39278400000001</v>
      </c>
      <c r="H4" s="19">
        <v>652369</v>
      </c>
      <c r="I4" s="15">
        <v>4269.1465930000004</v>
      </c>
      <c r="J4" s="19">
        <v>683838</v>
      </c>
      <c r="K4" s="24">
        <v>4666.7516390000001</v>
      </c>
    </row>
    <row r="5" spans="1:11" ht="13.35" customHeight="1">
      <c r="A5" s="49"/>
      <c r="B5" s="167">
        <v>3802</v>
      </c>
      <c r="C5" s="168" t="s">
        <v>87</v>
      </c>
      <c r="D5" s="19">
        <v>107461</v>
      </c>
      <c r="E5" s="15">
        <v>4116.7836500000003</v>
      </c>
      <c r="F5" s="19">
        <v>106025</v>
      </c>
      <c r="G5" s="15">
        <v>4267.5547189999997</v>
      </c>
      <c r="H5" s="19">
        <v>98369</v>
      </c>
      <c r="I5" s="15">
        <v>4215.5423870000004</v>
      </c>
      <c r="J5" s="19">
        <v>92050</v>
      </c>
      <c r="K5" s="24">
        <v>4161.3822959999998</v>
      </c>
    </row>
    <row r="6" spans="1:11" ht="13.35" customHeight="1">
      <c r="A6" s="49"/>
      <c r="B6" s="167">
        <v>3803</v>
      </c>
      <c r="C6" s="168" t="s">
        <v>83</v>
      </c>
      <c r="D6" s="19">
        <v>16655</v>
      </c>
      <c r="E6" s="15">
        <v>29.504598000000001</v>
      </c>
      <c r="F6" s="19">
        <v>16012</v>
      </c>
      <c r="G6" s="15">
        <v>33.435419000000003</v>
      </c>
      <c r="H6" s="19">
        <v>0</v>
      </c>
      <c r="I6" s="15">
        <v>0</v>
      </c>
      <c r="J6" s="19">
        <v>0</v>
      </c>
      <c r="K6" s="24">
        <v>0</v>
      </c>
    </row>
    <row r="7" spans="1:11" ht="13.35" customHeight="1">
      <c r="A7" s="49"/>
      <c r="B7" s="167">
        <v>3804</v>
      </c>
      <c r="C7" s="168" t="s">
        <v>101</v>
      </c>
      <c r="D7" s="19">
        <v>24653</v>
      </c>
      <c r="E7" s="15">
        <v>26.076322000000001</v>
      </c>
      <c r="F7" s="19">
        <v>27637</v>
      </c>
      <c r="G7" s="15">
        <v>31.590872000000001</v>
      </c>
      <c r="H7" s="19">
        <v>0</v>
      </c>
      <c r="I7" s="15">
        <v>0</v>
      </c>
      <c r="J7" s="19">
        <v>0</v>
      </c>
      <c r="K7" s="24">
        <v>0</v>
      </c>
    </row>
    <row r="8" spans="1:11" ht="13.35" customHeight="1">
      <c r="A8" s="49"/>
      <c r="B8" s="167">
        <v>3805</v>
      </c>
      <c r="C8" s="169" t="s">
        <v>88</v>
      </c>
      <c r="D8" s="19">
        <v>94362</v>
      </c>
      <c r="E8" s="15">
        <v>967.22319300000004</v>
      </c>
      <c r="F8" s="19">
        <v>94983</v>
      </c>
      <c r="G8" s="15">
        <v>1170.465641</v>
      </c>
      <c r="H8" s="19">
        <v>0</v>
      </c>
      <c r="I8" s="15">
        <v>0</v>
      </c>
      <c r="J8" s="19">
        <v>0</v>
      </c>
      <c r="K8" s="24">
        <v>0</v>
      </c>
    </row>
    <row r="9" spans="1:11" ht="13.35" customHeight="1">
      <c r="A9" s="49"/>
      <c r="B9" s="167">
        <v>3806</v>
      </c>
      <c r="C9" s="168" t="s">
        <v>84</v>
      </c>
      <c r="D9" s="19">
        <v>136672</v>
      </c>
      <c r="E9" s="15">
        <v>288.45641599999999</v>
      </c>
      <c r="F9" s="19">
        <v>140906</v>
      </c>
      <c r="G9" s="15">
        <v>349.35148800000002</v>
      </c>
      <c r="H9" s="19">
        <v>0</v>
      </c>
      <c r="I9" s="15">
        <v>0</v>
      </c>
      <c r="J9" s="19">
        <v>0</v>
      </c>
      <c r="K9" s="24">
        <v>0</v>
      </c>
    </row>
    <row r="10" spans="1:11" s="51" customFormat="1" ht="13.35" customHeight="1">
      <c r="A10" s="49"/>
      <c r="B10" s="167">
        <v>3807</v>
      </c>
      <c r="C10" s="168" t="s">
        <v>89</v>
      </c>
      <c r="D10" s="19">
        <v>82893</v>
      </c>
      <c r="E10" s="15">
        <v>243.391955</v>
      </c>
      <c r="F10" s="19">
        <v>101850</v>
      </c>
      <c r="G10" s="15">
        <v>303.25394</v>
      </c>
      <c r="H10" s="19">
        <v>0</v>
      </c>
      <c r="I10" s="15">
        <v>0</v>
      </c>
      <c r="J10" s="19">
        <v>0</v>
      </c>
      <c r="K10" s="24">
        <v>0</v>
      </c>
    </row>
    <row r="11" spans="1:11" s="1" customFormat="1" ht="13.35" customHeight="1">
      <c r="A11" s="26"/>
      <c r="B11" s="167">
        <v>3808</v>
      </c>
      <c r="C11" s="168" t="s">
        <v>236</v>
      </c>
      <c r="D11" s="19">
        <v>266928</v>
      </c>
      <c r="E11" s="15">
        <v>1253.3561360000001</v>
      </c>
      <c r="F11" s="19">
        <v>314704</v>
      </c>
      <c r="G11" s="15">
        <v>1893.9740850000001</v>
      </c>
      <c r="H11" s="19">
        <v>0</v>
      </c>
      <c r="I11" s="15">
        <v>0</v>
      </c>
      <c r="J11" s="19">
        <v>0</v>
      </c>
      <c r="K11" s="24">
        <v>0</v>
      </c>
    </row>
    <row r="12" spans="1:11" s="1" customFormat="1" ht="13.35" customHeight="1">
      <c r="A12" s="26"/>
      <c r="B12" s="167">
        <v>3809</v>
      </c>
      <c r="C12" s="168" t="s">
        <v>102</v>
      </c>
      <c r="D12" s="19">
        <v>9738</v>
      </c>
      <c r="E12" s="15">
        <v>78.389088999999998</v>
      </c>
      <c r="F12" s="19">
        <v>9691</v>
      </c>
      <c r="G12" s="15">
        <v>78.110656000000006</v>
      </c>
      <c r="H12" s="19">
        <v>0</v>
      </c>
      <c r="I12" s="15">
        <v>0</v>
      </c>
      <c r="J12" s="19">
        <v>0</v>
      </c>
      <c r="K12" s="24">
        <v>0</v>
      </c>
    </row>
    <row r="13" spans="1:11" s="1" customFormat="1" ht="13.35" customHeight="1">
      <c r="A13" s="26"/>
      <c r="B13" s="167">
        <v>3810</v>
      </c>
      <c r="C13" s="168" t="s">
        <v>174</v>
      </c>
      <c r="D13" s="19">
        <v>961916</v>
      </c>
      <c r="E13" s="15">
        <v>6640.3328309999997</v>
      </c>
      <c r="F13" s="19">
        <v>1009738</v>
      </c>
      <c r="G13" s="15">
        <v>7310.2989619999998</v>
      </c>
      <c r="H13" s="19">
        <v>965187</v>
      </c>
      <c r="I13" s="15">
        <v>7767.7502000000004</v>
      </c>
      <c r="J13" s="19">
        <v>1841176</v>
      </c>
      <c r="K13" s="24">
        <v>33013.414598000003</v>
      </c>
    </row>
    <row r="14" spans="1:11" s="1" customFormat="1" ht="13.35" customHeight="1">
      <c r="A14" s="26"/>
      <c r="B14" s="167"/>
      <c r="C14" s="247" t="s">
        <v>1</v>
      </c>
      <c r="D14" s="19">
        <f t="shared" ref="D14:K14" si="0">D41</f>
        <v>1469</v>
      </c>
      <c r="E14" s="15">
        <f t="shared" si="0"/>
        <v>12.407002</v>
      </c>
      <c r="F14" s="19">
        <f t="shared" si="0"/>
        <v>1422</v>
      </c>
      <c r="G14" s="15">
        <f t="shared" si="0"/>
        <v>8.7411300000000001</v>
      </c>
      <c r="H14" s="19">
        <f t="shared" si="0"/>
        <v>2074</v>
      </c>
      <c r="I14" s="15">
        <f t="shared" si="0"/>
        <v>16.792290000000001</v>
      </c>
      <c r="J14" s="19">
        <f t="shared" si="0"/>
        <v>1343</v>
      </c>
      <c r="K14" s="24">
        <f t="shared" si="0"/>
        <v>8.8210309999999996</v>
      </c>
    </row>
    <row r="15" spans="1:11" s="1" customFormat="1" ht="13.35" customHeight="1">
      <c r="A15" s="26"/>
      <c r="B15" s="167"/>
      <c r="C15" s="246" t="s">
        <v>296</v>
      </c>
      <c r="D15" s="19">
        <f t="shared" ref="D15:K15" si="1">D46</f>
        <v>690</v>
      </c>
      <c r="E15" s="15">
        <f t="shared" si="1"/>
        <v>62.322243</v>
      </c>
      <c r="F15" s="19">
        <f t="shared" si="1"/>
        <v>889</v>
      </c>
      <c r="G15" s="15">
        <f t="shared" si="1"/>
        <v>52.080339999999993</v>
      </c>
      <c r="H15" s="19">
        <f t="shared" si="1"/>
        <v>1250</v>
      </c>
      <c r="I15" s="15">
        <f t="shared" si="1"/>
        <v>75.445482000000027</v>
      </c>
      <c r="J15" s="19">
        <f t="shared" si="1"/>
        <v>1164</v>
      </c>
      <c r="K15" s="24">
        <f t="shared" si="1"/>
        <v>70.521910000000005</v>
      </c>
    </row>
    <row r="16" spans="1:11" customFormat="1" ht="13.35" customHeight="1">
      <c r="A16" s="103"/>
      <c r="B16" s="104" t="s">
        <v>9</v>
      </c>
      <c r="C16" s="105"/>
      <c r="D16" s="202"/>
      <c r="E16" s="112">
        <f t="shared" ref="E16:K16" si="2">SUM(E4:E15)</f>
        <v>14032.650766000001</v>
      </c>
      <c r="F16" s="202"/>
      <c r="G16" s="112">
        <f t="shared" si="2"/>
        <v>15736.250035999999</v>
      </c>
      <c r="H16" s="202"/>
      <c r="I16" s="112">
        <f t="shared" si="2"/>
        <v>16344.676952</v>
      </c>
      <c r="J16" s="202"/>
      <c r="K16" s="113">
        <f t="shared" si="2"/>
        <v>41920.891474000004</v>
      </c>
    </row>
    <row r="17" spans="1:11" ht="13.35" customHeight="1">
      <c r="A17" s="49"/>
      <c r="B17" s="315">
        <v>3801</v>
      </c>
      <c r="C17" s="294" t="s">
        <v>299</v>
      </c>
      <c r="D17" s="202"/>
      <c r="E17" s="15">
        <f t="shared" ref="E17:K17" si="3">SUM(E6:E12)+E4</f>
        <v>3200.8050400000002</v>
      </c>
      <c r="F17" s="202"/>
      <c r="G17" s="15">
        <f t="shared" si="3"/>
        <v>4097.574885</v>
      </c>
      <c r="H17" s="19">
        <f t="shared" si="3"/>
        <v>652369</v>
      </c>
      <c r="I17" s="15">
        <f t="shared" si="3"/>
        <v>4269.1465930000004</v>
      </c>
      <c r="J17" s="19">
        <f t="shared" si="3"/>
        <v>683838</v>
      </c>
      <c r="K17" s="24">
        <f t="shared" si="3"/>
        <v>4666.7516390000001</v>
      </c>
    </row>
    <row r="18" spans="1:11" customFormat="1" ht="13.35" customHeight="1">
      <c r="A18" s="100"/>
      <c r="B18" s="101" t="s">
        <v>92</v>
      </c>
      <c r="C18" s="102"/>
      <c r="D18" s="108"/>
      <c r="E18" s="137"/>
      <c r="F18" s="109"/>
      <c r="G18" s="137"/>
      <c r="H18" s="109"/>
      <c r="I18" s="109"/>
      <c r="J18" s="108"/>
      <c r="K18" s="110"/>
    </row>
    <row r="19" spans="1:11" customFormat="1" ht="13.35" customHeight="1">
      <c r="A19" s="49"/>
      <c r="B19" s="167">
        <v>3801</v>
      </c>
      <c r="C19" s="294" t="s">
        <v>297</v>
      </c>
      <c r="D19" s="62"/>
      <c r="E19" s="58">
        <f>A2.6.1!E4/A2.6.1!E$16</f>
        <v>2.2405412651028415E-2</v>
      </c>
      <c r="F19" s="62"/>
      <c r="G19" s="58">
        <f>A2.6.1!G4/A2.6.1!G$16</f>
        <v>1.5085727759594174E-2</v>
      </c>
      <c r="H19" s="62"/>
      <c r="I19" s="58">
        <f>A2.6.1!I4/A2.6.1!I$16</f>
        <v>0.26119492025063307</v>
      </c>
      <c r="J19" s="62"/>
      <c r="K19" s="59">
        <f>A2.6.1!K4/A2.6.1!K$16</f>
        <v>0.11132281482836291</v>
      </c>
    </row>
    <row r="20" spans="1:11" s="21" customFormat="1" ht="13.35" customHeight="1">
      <c r="A20" s="49"/>
      <c r="B20" s="167">
        <v>3802</v>
      </c>
      <c r="C20" s="168" t="s">
        <v>87</v>
      </c>
      <c r="D20" s="62"/>
      <c r="E20" s="58">
        <f>A2.6.1!E5/A2.6.1!E$16</f>
        <v>0.29337177406100923</v>
      </c>
      <c r="F20" s="62"/>
      <c r="G20" s="58">
        <f>A2.6.1!G5/A2.6.1!G$16</f>
        <v>0.27119261000791584</v>
      </c>
      <c r="H20" s="62"/>
      <c r="I20" s="58">
        <f>A2.6.1!I5/A2.6.1!I$16</f>
        <v>0.25791530780204069</v>
      </c>
      <c r="J20" s="62"/>
      <c r="K20" s="59">
        <f>A2.6.1!K5/A2.6.1!K$16</f>
        <v>9.9267504809170251E-2</v>
      </c>
    </row>
    <row r="21" spans="1:11" customFormat="1" ht="13.35" customHeight="1">
      <c r="A21" s="49"/>
      <c r="B21" s="167">
        <v>3803</v>
      </c>
      <c r="C21" s="168" t="s">
        <v>83</v>
      </c>
      <c r="D21" s="62"/>
      <c r="E21" s="58">
        <f>A2.6.1!E6/A2.6.1!E$16</f>
        <v>2.1025676824714618E-3</v>
      </c>
      <c r="F21" s="62"/>
      <c r="G21" s="58">
        <f>A2.6.1!G6/A2.6.1!G$16</f>
        <v>2.1247386717616595E-3</v>
      </c>
      <c r="H21" s="62"/>
      <c r="I21" s="58">
        <f>A2.6.1!I6/A2.6.1!I$16</f>
        <v>0</v>
      </c>
      <c r="J21" s="62"/>
      <c r="K21" s="59">
        <f>A2.6.1!K6/A2.6.1!K$16</f>
        <v>0</v>
      </c>
    </row>
    <row r="22" spans="1:11" customFormat="1" ht="13.35" customHeight="1">
      <c r="A22" s="49"/>
      <c r="B22" s="167">
        <v>3804</v>
      </c>
      <c r="C22" s="168" t="s">
        <v>101</v>
      </c>
      <c r="D22" s="62"/>
      <c r="E22" s="58">
        <f>A2.6.1!E7/A2.6.1!E$16</f>
        <v>1.8582605977183484E-3</v>
      </c>
      <c r="F22" s="62"/>
      <c r="G22" s="58">
        <f>A2.6.1!G7/A2.6.1!G$16</f>
        <v>2.0075222449903378E-3</v>
      </c>
      <c r="H22" s="62"/>
      <c r="I22" s="58">
        <f>A2.6.1!I7/A2.6.1!I$16</f>
        <v>0</v>
      </c>
      <c r="J22" s="62"/>
      <c r="K22" s="59">
        <f>A2.6.1!K7/A2.6.1!K$16</f>
        <v>0</v>
      </c>
    </row>
    <row r="23" spans="1:11" customFormat="1" ht="13.35" customHeight="1">
      <c r="A23" s="49"/>
      <c r="B23" s="167">
        <v>3805</v>
      </c>
      <c r="C23" s="169" t="s">
        <v>88</v>
      </c>
      <c r="D23" s="62"/>
      <c r="E23" s="58">
        <f>A2.6.1!E8/A2.6.1!E$16</f>
        <v>6.8926620431793623E-2</v>
      </c>
      <c r="F23" s="62"/>
      <c r="G23" s="58">
        <f>A2.6.1!G8/A2.6.1!G$16</f>
        <v>7.4380213730864231E-2</v>
      </c>
      <c r="H23" s="62"/>
      <c r="I23" s="58">
        <f>A2.6.1!I8/A2.6.1!I$16</f>
        <v>0</v>
      </c>
      <c r="J23" s="62"/>
      <c r="K23" s="59">
        <f>A2.6.1!K8/A2.6.1!K$16</f>
        <v>0</v>
      </c>
    </row>
    <row r="24" spans="1:11" customFormat="1" ht="13.35" customHeight="1">
      <c r="A24" s="49"/>
      <c r="B24" s="167">
        <v>3806</v>
      </c>
      <c r="C24" s="168" t="s">
        <v>84</v>
      </c>
      <c r="D24" s="62"/>
      <c r="E24" s="58">
        <f>A2.6.1!E9/A2.6.1!E$16</f>
        <v>2.055608885378285E-2</v>
      </c>
      <c r="F24" s="62"/>
      <c r="G24" s="58">
        <f>A2.6.1!G9/A2.6.1!G$16</f>
        <v>2.2200428132546485E-2</v>
      </c>
      <c r="H24" s="62"/>
      <c r="I24" s="58">
        <f>A2.6.1!I9/A2.6.1!I$16</f>
        <v>0</v>
      </c>
      <c r="J24" s="62"/>
      <c r="K24" s="59">
        <f>A2.6.1!K9/A2.6.1!K$16</f>
        <v>0</v>
      </c>
    </row>
    <row r="25" spans="1:11" customFormat="1" ht="13.35" customHeight="1">
      <c r="A25" s="49"/>
      <c r="B25" s="167">
        <v>3807</v>
      </c>
      <c r="C25" s="168" t="s">
        <v>89</v>
      </c>
      <c r="D25" s="62"/>
      <c r="E25" s="58">
        <f>A2.6.1!E10/A2.6.1!E$16</f>
        <v>1.734468840268721E-2</v>
      </c>
      <c r="F25" s="62"/>
      <c r="G25" s="58">
        <f>A2.6.1!G10/A2.6.1!G$16</f>
        <v>1.9271042294462942E-2</v>
      </c>
      <c r="H25" s="62"/>
      <c r="I25" s="58">
        <f>A2.6.1!I10/A2.6.1!I$16</f>
        <v>0</v>
      </c>
      <c r="J25" s="62"/>
      <c r="K25" s="59">
        <f>A2.6.1!K10/A2.6.1!K$16</f>
        <v>0</v>
      </c>
    </row>
    <row r="26" spans="1:11" customFormat="1" ht="13.35" customHeight="1">
      <c r="A26" s="26"/>
      <c r="B26" s="167">
        <v>3808</v>
      </c>
      <c r="C26" s="168" t="s">
        <v>236</v>
      </c>
      <c r="D26" s="62"/>
      <c r="E26" s="58">
        <f>A2.6.1!E11/A2.6.1!E$16</f>
        <v>8.9317133084846845E-2</v>
      </c>
      <c r="F26" s="62"/>
      <c r="G26" s="58">
        <f>A2.6.1!G11/A2.6.1!G$16</f>
        <v>0.12035739649961928</v>
      </c>
      <c r="H26" s="62"/>
      <c r="I26" s="58">
        <f>A2.6.1!I11/A2.6.1!I$16</f>
        <v>0</v>
      </c>
      <c r="J26" s="62"/>
      <c r="K26" s="59">
        <f>A2.6.1!K11/A2.6.1!K$16</f>
        <v>0</v>
      </c>
    </row>
    <row r="27" spans="1:11" customFormat="1" ht="13.35" customHeight="1">
      <c r="A27" s="26"/>
      <c r="B27" s="167">
        <v>3809</v>
      </c>
      <c r="C27" s="168" t="s">
        <v>102</v>
      </c>
      <c r="D27" s="62"/>
      <c r="E27" s="58">
        <f>A2.6.1!E12/A2.6.1!E$16</f>
        <v>5.5861925381860524E-3</v>
      </c>
      <c r="F27" s="62"/>
      <c r="G27" s="58">
        <f>A2.6.1!G12/A2.6.1!G$16</f>
        <v>4.9637401427471833E-3</v>
      </c>
      <c r="H27" s="62"/>
      <c r="I27" s="58">
        <f>A2.6.1!I12/A2.6.1!I$16</f>
        <v>0</v>
      </c>
      <c r="J27" s="62"/>
      <c r="K27" s="59">
        <f>A2.6.1!K12/A2.6.1!K$16</f>
        <v>0</v>
      </c>
    </row>
    <row r="28" spans="1:11" customFormat="1" ht="13.35" customHeight="1">
      <c r="A28" s="26"/>
      <c r="B28" s="167">
        <v>3810</v>
      </c>
      <c r="C28" s="168" t="s">
        <v>174</v>
      </c>
      <c r="D28" s="62"/>
      <c r="E28" s="58">
        <f>A2.6.1!E13/A2.6.1!E$16</f>
        <v>0.47320587832834826</v>
      </c>
      <c r="F28" s="62"/>
      <c r="G28" s="58">
        <f>A2.6.1!G13/A2.6.1!G$16</f>
        <v>0.46455152563515101</v>
      </c>
      <c r="H28" s="62"/>
      <c r="I28" s="58">
        <f>A2.6.1!I13/A2.6.1!I$16</f>
        <v>0.47524648072346926</v>
      </c>
      <c r="J28" s="62"/>
      <c r="K28" s="59">
        <f>A2.6.1!K13/A2.6.1!K$16</f>
        <v>0.78751699778320416</v>
      </c>
    </row>
    <row r="29" spans="1:11" customFormat="1" ht="13.35" customHeight="1">
      <c r="A29" s="26"/>
      <c r="B29" s="167"/>
      <c r="C29" s="247" t="s">
        <v>1</v>
      </c>
      <c r="D29" s="62"/>
      <c r="E29" s="58">
        <f>A2.6.1!E14/A2.6.1!E$16</f>
        <v>8.8415241046696481E-4</v>
      </c>
      <c r="F29" s="62"/>
      <c r="G29" s="58">
        <f>A2.6.1!G14/A2.6.1!G$16</f>
        <v>5.5547732020035372E-4</v>
      </c>
      <c r="H29" s="62"/>
      <c r="I29" s="58">
        <f>A2.6.1!I14/A2.6.1!I$16</f>
        <v>1.0273858608104965E-3</v>
      </c>
      <c r="J29" s="62"/>
      <c r="K29" s="59">
        <f>A2.6.1!K14/A2.6.1!K$16</f>
        <v>2.1042088299746541E-4</v>
      </c>
    </row>
    <row r="30" spans="1:11" customFormat="1" ht="13.35" customHeight="1">
      <c r="A30" s="26"/>
      <c r="B30" s="167"/>
      <c r="C30" s="246" t="s">
        <v>296</v>
      </c>
      <c r="D30" s="62"/>
      <c r="E30" s="58">
        <f>A2.6.1!E15/A2.6.1!E$16</f>
        <v>4.4412309576606756E-3</v>
      </c>
      <c r="F30" s="62"/>
      <c r="G30" s="58">
        <f>A2.6.1!G15/A2.6.1!G$16</f>
        <v>3.3095775601464901E-3</v>
      </c>
      <c r="H30" s="62"/>
      <c r="I30" s="58">
        <f>A2.6.1!I15/A2.6.1!I$16</f>
        <v>4.6159053630465434E-3</v>
      </c>
      <c r="J30" s="62"/>
      <c r="K30" s="59">
        <f>A2.6.1!K15/A2.6.1!K$16</f>
        <v>1.6822616962651857E-3</v>
      </c>
    </row>
    <row r="31" spans="1:11" customFormat="1" ht="13.35" customHeight="1">
      <c r="A31" s="103"/>
      <c r="B31" s="104" t="s">
        <v>9</v>
      </c>
      <c r="C31" s="105"/>
      <c r="D31" s="287"/>
      <c r="E31" s="288">
        <f t="shared" ref="E31:K31" si="4">SUM(E19:E30)</f>
        <v>0.99999999999999989</v>
      </c>
      <c r="F31" s="287"/>
      <c r="G31" s="288">
        <f t="shared" si="4"/>
        <v>0.99999999999999989</v>
      </c>
      <c r="H31" s="287"/>
      <c r="I31" s="288">
        <f t="shared" si="4"/>
        <v>1.0000000000000002</v>
      </c>
      <c r="J31" s="287"/>
      <c r="K31" s="289">
        <f t="shared" si="4"/>
        <v>1</v>
      </c>
    </row>
    <row r="32" spans="1:11" customFormat="1" ht="13.35" customHeight="1">
      <c r="A32" s="290"/>
      <c r="B32" s="316">
        <v>3801</v>
      </c>
      <c r="C32" s="295" t="s">
        <v>299</v>
      </c>
      <c r="D32" s="291"/>
      <c r="E32" s="292">
        <f>A2.6.1!E17/A2.6.1!E$16</f>
        <v>0.2280969642425148</v>
      </c>
      <c r="F32" s="291"/>
      <c r="G32" s="292">
        <f>A2.6.1!G17/A2.6.1!G$16</f>
        <v>0.26039080947658627</v>
      </c>
      <c r="H32" s="291"/>
      <c r="I32" s="292">
        <f>A2.6.1!I17/A2.6.1!I$16</f>
        <v>0.26119492025063307</v>
      </c>
      <c r="J32" s="291"/>
      <c r="K32" s="293">
        <f>A2.6.1!K17/A2.6.1!K$16</f>
        <v>0.11132281482836291</v>
      </c>
    </row>
    <row r="33" spans="1:11" customFormat="1" ht="13.35" customHeight="1">
      <c r="A33" s="27"/>
      <c r="B33" s="29" t="s">
        <v>298</v>
      </c>
      <c r="C33" s="168"/>
      <c r="D33" s="58"/>
      <c r="E33" s="58"/>
      <c r="F33" s="58"/>
      <c r="G33" s="58"/>
      <c r="H33" s="58"/>
      <c r="I33" s="58"/>
      <c r="J33" s="58"/>
      <c r="K33" s="58"/>
    </row>
    <row r="34" spans="1:11" customFormat="1" ht="12" customHeight="1">
      <c r="A34" s="1"/>
      <c r="B34" s="29" t="s">
        <v>294</v>
      </c>
      <c r="C34" s="1"/>
      <c r="D34" s="1"/>
      <c r="E34" s="1"/>
      <c r="F34" s="1"/>
      <c r="G34" s="1"/>
      <c r="H34" s="1"/>
      <c r="I34" s="1"/>
      <c r="J34" s="1"/>
      <c r="K34" s="1"/>
    </row>
    <row r="35" spans="1:11" s="1" customFormat="1" ht="12" customHeight="1">
      <c r="B35" s="29" t="s">
        <v>295</v>
      </c>
    </row>
    <row r="36" spans="1:11" customFormat="1" ht="13.35" customHeight="1">
      <c r="H36" s="1"/>
    </row>
    <row r="37" spans="1:11" customFormat="1" ht="13.35" customHeight="1">
      <c r="E37" s="560" t="s">
        <v>506</v>
      </c>
      <c r="H37" s="1"/>
    </row>
    <row r="38" spans="1:11" customFormat="1" ht="13.35" customHeight="1">
      <c r="B38" s="2"/>
      <c r="C38" s="2"/>
      <c r="D38" s="2"/>
      <c r="E38" s="2"/>
      <c r="F38" s="14"/>
      <c r="G38" s="6"/>
      <c r="H38" s="6"/>
      <c r="I38" s="6"/>
      <c r="J38" s="6"/>
      <c r="K38" s="6"/>
    </row>
    <row r="39" spans="1:11" customFormat="1" ht="13.35" customHeight="1">
      <c r="B39" s="2"/>
      <c r="C39" s="2"/>
      <c r="D39" s="2"/>
      <c r="E39" s="2"/>
      <c r="F39" s="14"/>
      <c r="G39" s="6"/>
      <c r="H39" s="6"/>
      <c r="I39" s="6"/>
      <c r="J39" s="6"/>
      <c r="K39" s="6"/>
    </row>
    <row r="40" spans="1:11" customFormat="1" ht="13.35" customHeight="1">
      <c r="B40" s="2"/>
      <c r="C40" s="2"/>
      <c r="D40" s="2"/>
      <c r="E40" s="2"/>
      <c r="F40" s="14"/>
      <c r="G40" s="6"/>
      <c r="H40" s="6"/>
      <c r="I40" s="6"/>
      <c r="J40" s="6"/>
      <c r="K40" s="6"/>
    </row>
    <row r="41" spans="1:11" customFormat="1" ht="13.35" customHeight="1">
      <c r="B41" s="2"/>
      <c r="C41" s="300" t="s">
        <v>5</v>
      </c>
      <c r="D41" s="99">
        <f t="shared" ref="D41:K41" si="5">SUM(D42:D44)</f>
        <v>1469</v>
      </c>
      <c r="E41" s="99">
        <f t="shared" si="5"/>
        <v>12.407002</v>
      </c>
      <c r="F41" s="99">
        <f t="shared" si="5"/>
        <v>1422</v>
      </c>
      <c r="G41" s="99">
        <f t="shared" si="5"/>
        <v>8.7411300000000001</v>
      </c>
      <c r="H41" s="99">
        <f t="shared" si="5"/>
        <v>2074</v>
      </c>
      <c r="I41" s="99">
        <f t="shared" si="5"/>
        <v>16.792290000000001</v>
      </c>
      <c r="J41" s="99">
        <f t="shared" si="5"/>
        <v>1343</v>
      </c>
      <c r="K41" s="145">
        <f t="shared" si="5"/>
        <v>8.8210309999999996</v>
      </c>
    </row>
    <row r="42" spans="1:11" customFormat="1" ht="13.35" customHeight="1">
      <c r="B42" s="2"/>
      <c r="C42" s="301" t="s">
        <v>300</v>
      </c>
      <c r="D42" s="296"/>
      <c r="E42" s="296"/>
      <c r="F42" s="296"/>
      <c r="G42" s="296"/>
      <c r="H42" s="296"/>
      <c r="I42" s="296"/>
      <c r="J42" s="296"/>
      <c r="K42" s="297"/>
    </row>
    <row r="43" spans="1:11" customFormat="1" ht="13.35" customHeight="1">
      <c r="B43" s="2"/>
      <c r="C43" s="301" t="s">
        <v>301</v>
      </c>
      <c r="D43" s="296">
        <v>2</v>
      </c>
      <c r="E43" s="296">
        <v>0.35425499999999999</v>
      </c>
      <c r="F43" s="296">
        <v>0</v>
      </c>
      <c r="G43" s="296">
        <v>0</v>
      </c>
      <c r="H43" s="296">
        <v>1</v>
      </c>
      <c r="I43" s="296">
        <v>3.8379999999999997E-2</v>
      </c>
      <c r="J43" s="296">
        <v>0</v>
      </c>
      <c r="K43" s="297">
        <v>0</v>
      </c>
    </row>
    <row r="44" spans="1:11" customFormat="1" ht="13.35" customHeight="1">
      <c r="B44" s="2"/>
      <c r="C44" s="302" t="s">
        <v>302</v>
      </c>
      <c r="D44" s="298">
        <v>1467</v>
      </c>
      <c r="E44" s="298">
        <v>12.052747</v>
      </c>
      <c r="F44" s="298">
        <v>1422</v>
      </c>
      <c r="G44" s="298">
        <v>8.7411300000000001</v>
      </c>
      <c r="H44" s="298">
        <v>2073</v>
      </c>
      <c r="I44" s="298">
        <v>16.753910000000001</v>
      </c>
      <c r="J44" s="298">
        <v>1343</v>
      </c>
      <c r="K44" s="299">
        <v>8.8210309999999996</v>
      </c>
    </row>
    <row r="45" spans="1:11" customFormat="1" ht="13.35" customHeight="1">
      <c r="B45" s="2"/>
      <c r="C45" s="2"/>
      <c r="D45" s="2"/>
      <c r="E45" s="2"/>
      <c r="F45" s="14"/>
      <c r="G45" s="6"/>
      <c r="H45" s="6"/>
      <c r="I45" s="6"/>
      <c r="J45" s="6"/>
      <c r="K45" s="6"/>
    </row>
    <row r="46" spans="1:11" customFormat="1" ht="13.35" customHeight="1">
      <c r="B46" s="2"/>
      <c r="C46" s="300" t="s">
        <v>316</v>
      </c>
      <c r="D46" s="99">
        <f t="shared" ref="D46:K46" si="6">SUM(D47:D59)</f>
        <v>690</v>
      </c>
      <c r="E46" s="99">
        <f t="shared" si="6"/>
        <v>62.322243</v>
      </c>
      <c r="F46" s="99">
        <f t="shared" si="6"/>
        <v>889</v>
      </c>
      <c r="G46" s="99">
        <f t="shared" si="6"/>
        <v>52.080339999999993</v>
      </c>
      <c r="H46" s="99">
        <f t="shared" si="6"/>
        <v>1250</v>
      </c>
      <c r="I46" s="99">
        <f t="shared" si="6"/>
        <v>75.445482000000027</v>
      </c>
      <c r="J46" s="99">
        <f t="shared" si="6"/>
        <v>1164</v>
      </c>
      <c r="K46" s="145">
        <f t="shared" si="6"/>
        <v>70.521910000000005</v>
      </c>
    </row>
    <row r="47" spans="1:11" customFormat="1" ht="13.35" customHeight="1">
      <c r="B47" s="2"/>
      <c r="C47" s="301" t="s">
        <v>303</v>
      </c>
      <c r="D47" s="296">
        <v>10</v>
      </c>
      <c r="E47" s="296">
        <v>7.0400000000000004E-2</v>
      </c>
      <c r="F47" s="296">
        <v>8</v>
      </c>
      <c r="G47" s="296">
        <v>0.12936700000000001</v>
      </c>
      <c r="H47" s="296">
        <v>425</v>
      </c>
      <c r="I47" s="296">
        <v>64.937323000000006</v>
      </c>
      <c r="J47" s="296">
        <v>431</v>
      </c>
      <c r="K47" s="297">
        <v>55.178534999999997</v>
      </c>
    </row>
    <row r="48" spans="1:11" customFormat="1" ht="13.35" customHeight="1">
      <c r="B48" s="2"/>
      <c r="C48" s="301" t="s">
        <v>304</v>
      </c>
      <c r="D48" s="296">
        <v>103</v>
      </c>
      <c r="E48" s="296">
        <v>5.3099249999999998</v>
      </c>
      <c r="F48" s="296">
        <v>115</v>
      </c>
      <c r="G48" s="296">
        <v>17.582082</v>
      </c>
      <c r="H48" s="296">
        <v>113</v>
      </c>
      <c r="I48" s="296">
        <v>5.4350579999999997</v>
      </c>
      <c r="J48" s="296">
        <v>53</v>
      </c>
      <c r="K48" s="297">
        <v>2.6508989999999999</v>
      </c>
    </row>
    <row r="49" spans="2:11" customFormat="1" ht="13.35" customHeight="1">
      <c r="B49" s="2"/>
      <c r="C49" s="301" t="s">
        <v>305</v>
      </c>
      <c r="D49" s="296">
        <v>9</v>
      </c>
      <c r="E49" s="296">
        <v>0.13889399999999999</v>
      </c>
      <c r="F49" s="296">
        <v>7</v>
      </c>
      <c r="G49" s="296">
        <v>7.5026999999999996E-2</v>
      </c>
      <c r="H49" s="296">
        <v>0</v>
      </c>
      <c r="I49" s="296">
        <v>0</v>
      </c>
      <c r="J49" s="296">
        <v>0</v>
      </c>
      <c r="K49" s="297">
        <v>0</v>
      </c>
    </row>
    <row r="50" spans="2:11" customFormat="1" ht="13.35" customHeight="1">
      <c r="B50" s="2"/>
      <c r="C50" s="301" t="s">
        <v>306</v>
      </c>
      <c r="D50" s="296">
        <v>13</v>
      </c>
      <c r="E50" s="296">
        <v>0.243755</v>
      </c>
      <c r="F50" s="296">
        <v>2</v>
      </c>
      <c r="G50" s="296">
        <v>7.7499999999999997E-4</v>
      </c>
      <c r="H50" s="296">
        <v>0</v>
      </c>
      <c r="I50" s="296">
        <v>0</v>
      </c>
      <c r="J50" s="296">
        <v>0</v>
      </c>
      <c r="K50" s="297">
        <v>0</v>
      </c>
    </row>
    <row r="51" spans="2:11" customFormat="1" ht="13.35" customHeight="1">
      <c r="B51" s="2"/>
      <c r="C51" s="301" t="s">
        <v>307</v>
      </c>
      <c r="D51" s="296">
        <v>31</v>
      </c>
      <c r="E51" s="296">
        <v>4.6728149999999999</v>
      </c>
      <c r="F51" s="296">
        <v>57</v>
      </c>
      <c r="G51" s="296">
        <v>11.723254000000001</v>
      </c>
      <c r="H51" s="296">
        <v>0</v>
      </c>
      <c r="I51" s="296">
        <v>0</v>
      </c>
      <c r="J51" s="296">
        <v>0</v>
      </c>
      <c r="K51" s="297">
        <v>0</v>
      </c>
    </row>
    <row r="52" spans="2:11" customFormat="1" ht="13.35" customHeight="1">
      <c r="B52" s="2"/>
      <c r="C52" s="301" t="s">
        <v>308</v>
      </c>
      <c r="D52" s="296">
        <v>46</v>
      </c>
      <c r="E52" s="296">
        <v>0.21676899999999999</v>
      </c>
      <c r="F52" s="296">
        <v>53</v>
      </c>
      <c r="G52" s="296">
        <v>0.695438</v>
      </c>
      <c r="H52" s="296">
        <v>0</v>
      </c>
      <c r="I52" s="296">
        <v>0</v>
      </c>
      <c r="J52" s="296">
        <v>0</v>
      </c>
      <c r="K52" s="297">
        <v>0</v>
      </c>
    </row>
    <row r="53" spans="2:11" customFormat="1" ht="13.35" customHeight="1">
      <c r="B53" s="2"/>
      <c r="C53" s="301" t="s">
        <v>309</v>
      </c>
      <c r="D53" s="296">
        <v>8</v>
      </c>
      <c r="E53" s="296">
        <v>0.11991300000000001</v>
      </c>
      <c r="F53" s="296">
        <v>18</v>
      </c>
      <c r="G53" s="296">
        <v>0.21636900000000001</v>
      </c>
      <c r="H53" s="296">
        <v>2</v>
      </c>
      <c r="I53" s="296">
        <v>2.3857E-2</v>
      </c>
      <c r="J53" s="296">
        <v>1</v>
      </c>
      <c r="K53" s="297">
        <v>8.8900000000000003E-4</v>
      </c>
    </row>
    <row r="54" spans="2:11" customFormat="1" ht="13.35" customHeight="1">
      <c r="B54" s="2"/>
      <c r="C54" s="301" t="s">
        <v>310</v>
      </c>
      <c r="D54" s="296">
        <v>164</v>
      </c>
      <c r="E54" s="296">
        <v>48.045262999999998</v>
      </c>
      <c r="F54" s="296">
        <v>136</v>
      </c>
      <c r="G54" s="296">
        <v>16.276892</v>
      </c>
      <c r="H54" s="296">
        <v>1</v>
      </c>
      <c r="I54" s="296">
        <v>8.2100000000000003E-3</v>
      </c>
      <c r="J54" s="296">
        <v>0</v>
      </c>
      <c r="K54" s="297">
        <v>0</v>
      </c>
    </row>
    <row r="55" spans="2:11" customFormat="1" ht="13.35" customHeight="1">
      <c r="B55" s="2"/>
      <c r="C55" s="301" t="s">
        <v>311</v>
      </c>
      <c r="D55" s="296">
        <v>1</v>
      </c>
      <c r="E55" s="296">
        <v>9.0732999999999994E-2</v>
      </c>
      <c r="F55" s="296">
        <v>0</v>
      </c>
      <c r="G55" s="296">
        <v>0</v>
      </c>
      <c r="H55" s="296">
        <v>0</v>
      </c>
      <c r="I55" s="296">
        <v>0</v>
      </c>
      <c r="J55" s="296">
        <v>0</v>
      </c>
      <c r="K55" s="297">
        <v>0</v>
      </c>
    </row>
    <row r="56" spans="2:11" customFormat="1" ht="13.35" customHeight="1">
      <c r="B56" s="2"/>
      <c r="C56" s="301" t="s">
        <v>312</v>
      </c>
      <c r="D56" s="296">
        <v>300</v>
      </c>
      <c r="E56" s="296">
        <v>3.294495</v>
      </c>
      <c r="F56" s="296">
        <v>491</v>
      </c>
      <c r="G56" s="296">
        <v>5.3688260000000003</v>
      </c>
      <c r="H56" s="296">
        <v>705</v>
      </c>
      <c r="I56" s="296">
        <v>5.0268629999999996</v>
      </c>
      <c r="J56" s="296">
        <v>676</v>
      </c>
      <c r="K56" s="297">
        <v>12.685482</v>
      </c>
    </row>
    <row r="57" spans="2:11" customFormat="1" ht="13.35" customHeight="1">
      <c r="B57" s="2"/>
      <c r="C57" s="301" t="s">
        <v>313</v>
      </c>
      <c r="D57" s="296"/>
      <c r="E57" s="296"/>
      <c r="F57" s="296"/>
      <c r="G57" s="296"/>
      <c r="H57" s="296"/>
      <c r="I57" s="296"/>
      <c r="J57" s="296"/>
      <c r="K57" s="297"/>
    </row>
    <row r="58" spans="2:11" customFormat="1" ht="13.35" customHeight="1">
      <c r="B58" s="2"/>
      <c r="C58" s="301" t="s">
        <v>314</v>
      </c>
      <c r="D58" s="296"/>
      <c r="E58" s="296"/>
      <c r="F58" s="296"/>
      <c r="G58" s="296"/>
      <c r="H58" s="296"/>
      <c r="I58" s="296"/>
      <c r="J58" s="296"/>
      <c r="K58" s="297"/>
    </row>
    <row r="59" spans="2:11" customFormat="1" ht="13.35" customHeight="1">
      <c r="B59" s="2"/>
      <c r="C59" s="302" t="s">
        <v>315</v>
      </c>
      <c r="D59" s="298">
        <v>5</v>
      </c>
      <c r="E59" s="298">
        <v>0.119281</v>
      </c>
      <c r="F59" s="298">
        <v>2</v>
      </c>
      <c r="G59" s="298">
        <v>1.231E-2</v>
      </c>
      <c r="H59" s="298">
        <v>4</v>
      </c>
      <c r="I59" s="298">
        <v>1.4171E-2</v>
      </c>
      <c r="J59" s="298">
        <v>3</v>
      </c>
      <c r="K59" s="299">
        <v>6.1050000000000002E-3</v>
      </c>
    </row>
    <row r="60" spans="2:11" customFormat="1" ht="13.35" customHeight="1">
      <c r="B60" s="2"/>
      <c r="C60" s="2"/>
      <c r="D60" s="2"/>
      <c r="E60" s="2"/>
      <c r="F60" s="14"/>
      <c r="G60" s="6"/>
      <c r="H60" s="6"/>
      <c r="I60" s="6"/>
      <c r="J60" s="6"/>
      <c r="K60" s="6"/>
    </row>
  </sheetData>
  <mergeCells count="1">
    <mergeCell ref="J2:K2"/>
  </mergeCells>
  <phoneticPr fontId="7" type="noConversion"/>
  <hyperlinks>
    <hyperlink ref="E37" location="CONTENTS!A1" display="BACK TO CONTENTS"/>
  </hyperlinks>
  <pageMargins left="0.98425196850393704" right="0.98425196850393704" top="0.98425196850393704" bottom="0.98425196850393704" header="0.51181102362204722" footer="0.51181102362204722"/>
  <pageSetup paperSize="9" scale="96"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5">
    <pageSetUpPr fitToPage="1"/>
  </sheetPr>
  <dimension ref="A1:J83"/>
  <sheetViews>
    <sheetView showGridLines="0" zoomScaleNormal="100" zoomScaleSheetLayoutView="90" workbookViewId="0"/>
  </sheetViews>
  <sheetFormatPr defaultColWidth="9.140625" defaultRowHeight="11.25"/>
  <cols>
    <col min="1" max="1" width="3.7109375" style="344" customWidth="1"/>
    <col min="2" max="8" width="10.7109375" style="344" customWidth="1"/>
    <col min="9" max="9" width="13.7109375" style="344" customWidth="1"/>
    <col min="10" max="16384" width="9.140625" style="344"/>
  </cols>
  <sheetData>
    <row r="1" spans="1:9" ht="15" customHeight="1">
      <c r="B1" s="458" t="s">
        <v>402</v>
      </c>
    </row>
    <row r="2" spans="1:9" ht="12.75" customHeight="1">
      <c r="A2" s="461"/>
      <c r="B2" s="680" t="s">
        <v>85</v>
      </c>
      <c r="C2" s="681"/>
      <c r="D2" s="682" t="s">
        <v>400</v>
      </c>
      <c r="E2" s="683"/>
      <c r="F2" s="678" t="s">
        <v>426</v>
      </c>
      <c r="G2" s="674" t="s">
        <v>384</v>
      </c>
      <c r="H2" s="675"/>
      <c r="I2" s="676"/>
    </row>
    <row r="3" spans="1:9" ht="22.5" customHeight="1">
      <c r="A3" s="461"/>
      <c r="B3" s="672"/>
      <c r="C3" s="673"/>
      <c r="D3" s="684"/>
      <c r="E3" s="685"/>
      <c r="F3" s="679"/>
      <c r="G3" s="677" t="s">
        <v>400</v>
      </c>
      <c r="H3" s="677"/>
      <c r="I3" s="504" t="s">
        <v>426</v>
      </c>
    </row>
    <row r="4" spans="1:9">
      <c r="A4" s="462"/>
      <c r="B4" s="505" t="s">
        <v>415</v>
      </c>
      <c r="C4" s="506" t="s">
        <v>423</v>
      </c>
      <c r="D4" s="559" t="s">
        <v>415</v>
      </c>
      <c r="E4" s="506" t="s">
        <v>417</v>
      </c>
      <c r="F4" s="507" t="s">
        <v>417</v>
      </c>
      <c r="G4" s="508" t="s">
        <v>415</v>
      </c>
      <c r="H4" s="506" t="s">
        <v>424</v>
      </c>
      <c r="I4" s="507" t="s">
        <v>417</v>
      </c>
    </row>
    <row r="5" spans="1:9" ht="13.35" customHeight="1">
      <c r="A5" s="462"/>
      <c r="B5" s="459">
        <v>22000</v>
      </c>
      <c r="C5" s="392">
        <v>63571.791365501122</v>
      </c>
      <c r="D5" s="459">
        <v>2384.7200000000003</v>
      </c>
      <c r="E5" s="393">
        <v>18100.440287165482</v>
      </c>
      <c r="F5" s="502">
        <v>2.9224457902018912</v>
      </c>
      <c r="G5" s="387">
        <v>0.10839636363636365</v>
      </c>
      <c r="H5" s="387">
        <v>0.28472440210310251</v>
      </c>
      <c r="I5" s="388">
        <v>4.5970795024471056E-5</v>
      </c>
    </row>
    <row r="6" spans="1:9" ht="13.35" customHeight="1">
      <c r="A6" s="462"/>
      <c r="B6" s="459">
        <v>25000</v>
      </c>
      <c r="C6" s="392">
        <v>72240.672006251276</v>
      </c>
      <c r="D6" s="459">
        <v>3224.7200000000003</v>
      </c>
      <c r="E6" s="391">
        <v>21828.058962688046</v>
      </c>
      <c r="F6" s="502">
        <v>1563.3209611252296</v>
      </c>
      <c r="G6" s="387">
        <v>0.12898880000000001</v>
      </c>
      <c r="H6" s="387">
        <v>0.30215747385073022</v>
      </c>
      <c r="I6" s="388">
        <v>2.1640454299621536E-2</v>
      </c>
    </row>
    <row r="7" spans="1:9" ht="13.35" customHeight="1">
      <c r="A7" s="462"/>
      <c r="B7" s="459">
        <v>30000</v>
      </c>
      <c r="C7" s="392">
        <v>86688.806407501528</v>
      </c>
      <c r="D7" s="459">
        <v>4624.72</v>
      </c>
      <c r="E7" s="391">
        <v>28040.756755225659</v>
      </c>
      <c r="F7" s="502">
        <v>4163.9851533502751</v>
      </c>
      <c r="G7" s="387">
        <v>0.15415733333333334</v>
      </c>
      <c r="H7" s="387">
        <v>0.32346456154227521</v>
      </c>
      <c r="I7" s="388">
        <v>4.8033711916351279E-2</v>
      </c>
    </row>
    <row r="8" spans="1:9" ht="13.35" customHeight="1">
      <c r="A8" s="462"/>
      <c r="B8" s="459">
        <v>40000</v>
      </c>
      <c r="C8" s="392">
        <v>115585.07521000203</v>
      </c>
      <c r="D8" s="459">
        <v>8224.64</v>
      </c>
      <c r="E8" s="391">
        <v>40466.152340300876</v>
      </c>
      <c r="F8" s="502">
        <v>9365.3135378003644</v>
      </c>
      <c r="G8" s="387">
        <v>0.20561599999999999</v>
      </c>
      <c r="H8" s="387">
        <v>0.35009842115670642</v>
      </c>
      <c r="I8" s="388">
        <v>8.1025283937263437E-2</v>
      </c>
    </row>
    <row r="9" spans="1:9" ht="13.35" customHeight="1">
      <c r="A9" s="462"/>
      <c r="B9" s="459">
        <v>50000</v>
      </c>
      <c r="C9" s="392">
        <v>144481.34401250255</v>
      </c>
      <c r="D9" s="459">
        <v>12324.59</v>
      </c>
      <c r="E9" s="391">
        <v>52891.547925376093</v>
      </c>
      <c r="F9" s="502">
        <v>14566.641922250459</v>
      </c>
      <c r="G9" s="387">
        <v>0.24649180000000001</v>
      </c>
      <c r="H9" s="387">
        <v>0.36607873692536508</v>
      </c>
      <c r="I9" s="388">
        <v>0.10082022714981077</v>
      </c>
    </row>
    <row r="10" spans="1:9" ht="13.35" customHeight="1">
      <c r="A10" s="462"/>
      <c r="B10" s="459">
        <v>100000</v>
      </c>
      <c r="C10" s="392">
        <v>288962.6880250051</v>
      </c>
      <c r="D10" s="459">
        <v>33764.57</v>
      </c>
      <c r="E10" s="391">
        <v>115018.52585075219</v>
      </c>
      <c r="F10" s="502">
        <v>51548.806407501528</v>
      </c>
      <c r="G10" s="387">
        <v>0.33764569999999999</v>
      </c>
      <c r="H10" s="387">
        <v>0.39803936846268256</v>
      </c>
      <c r="I10" s="388">
        <v>0.17839260411032998</v>
      </c>
    </row>
    <row r="11" spans="1:9" ht="13.35" customHeight="1">
      <c r="A11" s="462"/>
      <c r="B11" s="459">
        <v>150000</v>
      </c>
      <c r="C11" s="392">
        <v>433444.03203750763</v>
      </c>
      <c r="D11" s="459">
        <v>55264.57</v>
      </c>
      <c r="E11" s="391">
        <v>177145.50377612829</v>
      </c>
      <c r="F11" s="502">
        <v>99265.411213127663</v>
      </c>
      <c r="G11" s="387">
        <v>0.36843046666666668</v>
      </c>
      <c r="H11" s="387">
        <v>0.40869291230845506</v>
      </c>
      <c r="I11" s="388">
        <v>0.22901552190373181</v>
      </c>
    </row>
    <row r="12" spans="1:9" ht="13.35" customHeight="1">
      <c r="A12" s="462"/>
      <c r="B12" s="459">
        <v>200000</v>
      </c>
      <c r="C12" s="392">
        <v>577925.37605001021</v>
      </c>
      <c r="D12" s="459">
        <v>76764.570000000007</v>
      </c>
      <c r="E12" s="391">
        <v>239272.48170150438</v>
      </c>
      <c r="F12" s="502">
        <v>152651.64289900387</v>
      </c>
      <c r="G12" s="387">
        <v>0.38382285000000005</v>
      </c>
      <c r="H12" s="387">
        <v>0.41401968423134128</v>
      </c>
      <c r="I12" s="388">
        <v>0.26413729042725803</v>
      </c>
    </row>
    <row r="13" spans="1:9" ht="13.35" customHeight="1">
      <c r="A13" s="462"/>
      <c r="B13" s="459">
        <v>250000</v>
      </c>
      <c r="C13" s="392">
        <v>722406.72006251267</v>
      </c>
      <c r="D13" s="459">
        <v>98264.569999999992</v>
      </c>
      <c r="E13" s="391">
        <v>301399.45962688042</v>
      </c>
      <c r="F13" s="502">
        <v>209662.68802500507</v>
      </c>
      <c r="G13" s="387">
        <v>0.39305827999999998</v>
      </c>
      <c r="H13" s="387">
        <v>0.417215747385073</v>
      </c>
      <c r="I13" s="388">
        <v>0.29022804218496495</v>
      </c>
    </row>
    <row r="14" spans="1:9" ht="13.35" customHeight="1">
      <c r="A14" s="462"/>
      <c r="B14" s="459">
        <v>300000</v>
      </c>
      <c r="C14" s="392">
        <v>866888.06407501525</v>
      </c>
      <c r="D14" s="459">
        <v>119764.56999999999</v>
      </c>
      <c r="E14" s="391">
        <v>363526.43755225657</v>
      </c>
      <c r="F14" s="502">
        <v>267455.22563000611</v>
      </c>
      <c r="G14" s="387">
        <v>0.39921523333333331</v>
      </c>
      <c r="H14" s="387">
        <v>0.41934645615422755</v>
      </c>
      <c r="I14" s="388">
        <v>0.30852336848747081</v>
      </c>
    </row>
    <row r="15" spans="1:9" ht="13.35" customHeight="1">
      <c r="A15" s="462"/>
      <c r="B15" s="459">
        <v>350000</v>
      </c>
      <c r="C15" s="392">
        <v>1011369.4080875178</v>
      </c>
      <c r="D15" s="459">
        <v>141264.57</v>
      </c>
      <c r="E15" s="391">
        <v>425653.41547763266</v>
      </c>
      <c r="F15" s="502">
        <v>325247.76323500718</v>
      </c>
      <c r="G15" s="387">
        <v>0.40361305714285717</v>
      </c>
      <c r="H15" s="387">
        <v>0.42086839098933787</v>
      </c>
      <c r="I15" s="388">
        <v>0.32159145870354644</v>
      </c>
    </row>
    <row r="16" spans="1:9" ht="13.35" customHeight="1">
      <c r="A16" s="462"/>
      <c r="B16" s="459">
        <v>400000</v>
      </c>
      <c r="C16" s="392">
        <v>1155850.7521000204</v>
      </c>
      <c r="D16" s="459">
        <v>162764.57</v>
      </c>
      <c r="E16" s="391">
        <v>487780.39340300875</v>
      </c>
      <c r="F16" s="502">
        <v>383040.30084000819</v>
      </c>
      <c r="G16" s="387">
        <v>0.40691142499999999</v>
      </c>
      <c r="H16" s="387">
        <v>0.42200984211567061</v>
      </c>
      <c r="I16" s="388">
        <v>0.33139252636560312</v>
      </c>
    </row>
    <row r="17" spans="1:9" ht="13.35" customHeight="1">
      <c r="A17" s="462"/>
      <c r="B17" s="459">
        <v>450000</v>
      </c>
      <c r="C17" s="392">
        <v>1300332.096112523</v>
      </c>
      <c r="D17" s="459">
        <v>184264.57</v>
      </c>
      <c r="E17" s="391">
        <v>549907.37132838485</v>
      </c>
      <c r="F17" s="502">
        <v>440832.8384450092</v>
      </c>
      <c r="G17" s="387">
        <v>0.40947682222222226</v>
      </c>
      <c r="H17" s="387">
        <v>0.42289763743615166</v>
      </c>
      <c r="I17" s="388">
        <v>0.33901557899164719</v>
      </c>
    </row>
    <row r="18" spans="1:9" ht="13.35" customHeight="1">
      <c r="A18" s="462"/>
      <c r="B18" s="459">
        <v>500000</v>
      </c>
      <c r="C18" s="392">
        <v>1444813.4401250253</v>
      </c>
      <c r="D18" s="459">
        <v>205764.57</v>
      </c>
      <c r="E18" s="391">
        <v>612034.34925376088</v>
      </c>
      <c r="F18" s="502">
        <v>498625.37605001015</v>
      </c>
      <c r="G18" s="387">
        <v>0.41152914000000002</v>
      </c>
      <c r="H18" s="387">
        <v>0.4236078736925365</v>
      </c>
      <c r="I18" s="388">
        <v>0.34511402109248246</v>
      </c>
    </row>
    <row r="19" spans="1:9" ht="13.35" customHeight="1">
      <c r="A19" s="462"/>
      <c r="B19" s="459">
        <v>600000</v>
      </c>
      <c r="C19" s="392">
        <v>1733776.1281500305</v>
      </c>
      <c r="D19" s="459">
        <v>248764.57</v>
      </c>
      <c r="E19" s="391">
        <v>736288.30510451307</v>
      </c>
      <c r="F19" s="502">
        <v>614210.45126001223</v>
      </c>
      <c r="G19" s="387">
        <v>0.41460761666666668</v>
      </c>
      <c r="H19" s="387">
        <v>0.42467322807711372</v>
      </c>
      <c r="I19" s="388">
        <v>0.35426168424373539</v>
      </c>
    </row>
    <row r="20" spans="1:9" ht="13.35" customHeight="1">
      <c r="A20" s="462"/>
      <c r="B20" s="459">
        <v>700000</v>
      </c>
      <c r="C20" s="392">
        <v>2022738.8161750357</v>
      </c>
      <c r="D20" s="459">
        <v>291764.57</v>
      </c>
      <c r="E20" s="391">
        <v>860542.26095526537</v>
      </c>
      <c r="F20" s="502">
        <v>729795.52647001424</v>
      </c>
      <c r="G20" s="387">
        <v>0.41680652857142858</v>
      </c>
      <c r="H20" s="387">
        <v>0.42543419549466893</v>
      </c>
      <c r="I20" s="388">
        <v>0.36079572935177318</v>
      </c>
    </row>
    <row r="21" spans="1:9" ht="13.35" customHeight="1">
      <c r="A21" s="462"/>
      <c r="B21" s="459">
        <v>800000</v>
      </c>
      <c r="C21" s="392">
        <v>2311701.5042000408</v>
      </c>
      <c r="D21" s="459">
        <v>334764.57</v>
      </c>
      <c r="E21" s="391">
        <v>984796.21680601756</v>
      </c>
      <c r="F21" s="502">
        <v>845380.60168001638</v>
      </c>
      <c r="G21" s="387">
        <v>0.41845571250000002</v>
      </c>
      <c r="H21" s="387">
        <v>0.42600492105783533</v>
      </c>
      <c r="I21" s="388">
        <v>0.36569626318280157</v>
      </c>
    </row>
    <row r="22" spans="1:9" ht="13.35" customHeight="1">
      <c r="A22" s="462"/>
      <c r="B22" s="459">
        <v>900000</v>
      </c>
      <c r="C22" s="392">
        <v>2600664.192225046</v>
      </c>
      <c r="D22" s="459">
        <v>377764.57</v>
      </c>
      <c r="E22" s="391">
        <v>1109050.1726567699</v>
      </c>
      <c r="F22" s="502">
        <v>960965.6768900184</v>
      </c>
      <c r="G22" s="387">
        <v>0.4197384111111111</v>
      </c>
      <c r="H22" s="387">
        <v>0.42644881871807588</v>
      </c>
      <c r="I22" s="388">
        <v>0.36950778949582358</v>
      </c>
    </row>
    <row r="23" spans="1:9" ht="13.35" customHeight="1">
      <c r="A23" s="462"/>
      <c r="B23" s="460">
        <v>1000000</v>
      </c>
      <c r="C23" s="395">
        <v>2889626.8802500507</v>
      </c>
      <c r="D23" s="460">
        <v>420764.57</v>
      </c>
      <c r="E23" s="394">
        <v>1233304.1285075217</v>
      </c>
      <c r="F23" s="503">
        <v>1076550.7521000202</v>
      </c>
      <c r="G23" s="389">
        <v>0.42076457</v>
      </c>
      <c r="H23" s="389">
        <v>0.42680393684626822</v>
      </c>
      <c r="I23" s="390">
        <v>0.37255701054624119</v>
      </c>
    </row>
    <row r="24" spans="1:9" ht="12" customHeight="1">
      <c r="A24" s="396"/>
      <c r="B24" s="29" t="s">
        <v>416</v>
      </c>
      <c r="C24" s="392"/>
      <c r="D24" s="391"/>
      <c r="E24" s="391"/>
      <c r="F24" s="393"/>
      <c r="G24" s="387"/>
      <c r="H24" s="387"/>
      <c r="I24" s="387"/>
    </row>
    <row r="25" spans="1:9" ht="12" customHeight="1">
      <c r="B25" s="29" t="s">
        <v>425</v>
      </c>
    </row>
    <row r="26" spans="1:9" ht="12" customHeight="1">
      <c r="B26" s="29" t="s">
        <v>414</v>
      </c>
    </row>
    <row r="28" spans="1:9" ht="12.75">
      <c r="E28" s="560" t="s">
        <v>506</v>
      </c>
    </row>
    <row r="34" spans="2:10">
      <c r="B34" s="577" t="s">
        <v>398</v>
      </c>
      <c r="C34" s="578" t="s">
        <v>417</v>
      </c>
      <c r="D34" s="579">
        <v>123.26666666666667</v>
      </c>
      <c r="E34" s="580"/>
      <c r="F34" s="580"/>
      <c r="G34" s="580"/>
      <c r="H34" s="581">
        <f>H5-I5</f>
        <v>0.28467843130807802</v>
      </c>
    </row>
    <row r="35" spans="2:10">
      <c r="B35" s="582"/>
      <c r="C35" s="583" t="s">
        <v>337</v>
      </c>
      <c r="D35" s="584">
        <v>42.658333333333303</v>
      </c>
      <c r="E35" s="580"/>
      <c r="F35" s="580"/>
      <c r="G35" s="580"/>
      <c r="H35" s="580"/>
    </row>
    <row r="36" spans="2:10">
      <c r="B36" s="582" t="s">
        <v>383</v>
      </c>
      <c r="C36" s="585"/>
      <c r="D36" s="586">
        <f>D34/D35</f>
        <v>2.8896268802500509</v>
      </c>
      <c r="E36" s="580"/>
      <c r="F36" s="580"/>
      <c r="G36" s="580"/>
      <c r="H36" s="580"/>
    </row>
    <row r="44" spans="2:10">
      <c r="B44" s="686" t="s">
        <v>399</v>
      </c>
      <c r="C44" s="687"/>
      <c r="D44" s="687"/>
      <c r="E44" s="687"/>
      <c r="F44" s="687"/>
      <c r="G44" s="687"/>
      <c r="H44" s="687"/>
      <c r="I44" s="687"/>
      <c r="J44" s="688"/>
    </row>
    <row r="45" spans="2:10">
      <c r="B45" s="689" t="s">
        <v>385</v>
      </c>
      <c r="C45" s="690"/>
      <c r="D45" s="690"/>
      <c r="E45" s="348"/>
      <c r="F45" s="690" t="s">
        <v>386</v>
      </c>
      <c r="G45" s="690"/>
      <c r="H45" s="690"/>
      <c r="I45" s="690"/>
      <c r="J45" s="691"/>
    </row>
    <row r="46" spans="2:10">
      <c r="B46" s="371"/>
      <c r="C46" s="372" t="s">
        <v>387</v>
      </c>
      <c r="D46" s="372"/>
      <c r="E46" s="372"/>
      <c r="F46" s="373" t="s">
        <v>387</v>
      </c>
      <c r="G46" s="372"/>
      <c r="H46" s="372"/>
      <c r="I46" s="372"/>
      <c r="J46" s="374" t="s">
        <v>387</v>
      </c>
    </row>
    <row r="47" spans="2:10">
      <c r="B47" s="359">
        <v>0</v>
      </c>
      <c r="C47" s="349" t="s">
        <v>388</v>
      </c>
      <c r="D47" s="350">
        <v>5000</v>
      </c>
      <c r="E47" s="351"/>
      <c r="F47" s="350"/>
      <c r="G47" s="352"/>
      <c r="H47" s="353"/>
      <c r="I47" s="352" t="s">
        <v>389</v>
      </c>
      <c r="J47" s="360"/>
    </row>
    <row r="48" spans="2:10">
      <c r="B48" s="358">
        <v>5001</v>
      </c>
      <c r="C48" s="349" t="s">
        <v>388</v>
      </c>
      <c r="D48" s="350">
        <v>10000</v>
      </c>
      <c r="E48" s="351"/>
      <c r="F48" s="350">
        <v>850</v>
      </c>
      <c r="G48" s="352" t="s">
        <v>390</v>
      </c>
      <c r="H48" s="353">
        <v>0.19</v>
      </c>
      <c r="I48" s="352" t="s">
        <v>391</v>
      </c>
      <c r="J48" s="360">
        <v>5000</v>
      </c>
    </row>
    <row r="49" spans="2:10">
      <c r="B49" s="358">
        <v>10001</v>
      </c>
      <c r="C49" s="349" t="s">
        <v>388</v>
      </c>
      <c r="D49" s="350">
        <v>15000</v>
      </c>
      <c r="E49" s="351"/>
      <c r="F49" s="350">
        <v>1800</v>
      </c>
      <c r="G49" s="352" t="s">
        <v>390</v>
      </c>
      <c r="H49" s="354">
        <v>0.21</v>
      </c>
      <c r="I49" s="352" t="s">
        <v>391</v>
      </c>
      <c r="J49" s="360">
        <v>10000</v>
      </c>
    </row>
    <row r="50" spans="2:10">
      <c r="B50" s="358">
        <v>15001</v>
      </c>
      <c r="C50" s="349" t="s">
        <v>388</v>
      </c>
      <c r="D50" s="350">
        <v>20000</v>
      </c>
      <c r="E50" s="351"/>
      <c r="F50" s="350">
        <v>2850</v>
      </c>
      <c r="G50" s="352" t="s">
        <v>390</v>
      </c>
      <c r="H50" s="354">
        <v>0.24</v>
      </c>
      <c r="I50" s="352" t="s">
        <v>391</v>
      </c>
      <c r="J50" s="360">
        <v>15000</v>
      </c>
    </row>
    <row r="51" spans="2:10">
      <c r="B51" s="358">
        <v>20001</v>
      </c>
      <c r="C51" s="349" t="s">
        <v>388</v>
      </c>
      <c r="D51" s="350">
        <v>30000</v>
      </c>
      <c r="E51" s="351"/>
      <c r="F51" s="350">
        <v>4050</v>
      </c>
      <c r="G51" s="352" t="s">
        <v>390</v>
      </c>
      <c r="H51" s="354">
        <v>0.28000000000000003</v>
      </c>
      <c r="I51" s="352" t="s">
        <v>391</v>
      </c>
      <c r="J51" s="360">
        <v>20000</v>
      </c>
    </row>
    <row r="52" spans="2:10">
      <c r="B52" s="358">
        <v>30001</v>
      </c>
      <c r="C52" s="349" t="s">
        <v>388</v>
      </c>
      <c r="D52" s="350">
        <v>40000</v>
      </c>
      <c r="E52" s="351"/>
      <c r="F52" s="350">
        <v>6850</v>
      </c>
      <c r="G52" s="352" t="s">
        <v>390</v>
      </c>
      <c r="H52" s="354">
        <v>0.36</v>
      </c>
      <c r="I52" s="352" t="s">
        <v>391</v>
      </c>
      <c r="J52" s="360">
        <v>30000</v>
      </c>
    </row>
    <row r="53" spans="2:10">
      <c r="B53" s="358"/>
      <c r="C53" s="349"/>
      <c r="D53" s="350"/>
      <c r="E53" s="351"/>
      <c r="F53" s="350"/>
      <c r="G53" s="352"/>
      <c r="H53" s="354"/>
      <c r="I53" s="352"/>
      <c r="J53" s="360"/>
    </row>
    <row r="54" spans="2:10">
      <c r="B54" s="358">
        <v>40001</v>
      </c>
      <c r="C54" s="349" t="s">
        <v>388</v>
      </c>
      <c r="D54" s="350">
        <v>50000</v>
      </c>
      <c r="E54" s="351"/>
      <c r="F54" s="350">
        <v>10450</v>
      </c>
      <c r="G54" s="352" t="s">
        <v>390</v>
      </c>
      <c r="H54" s="354">
        <v>0.41</v>
      </c>
      <c r="I54" s="352" t="s">
        <v>391</v>
      </c>
      <c r="J54" s="360">
        <v>40000</v>
      </c>
    </row>
    <row r="55" spans="2:10">
      <c r="B55" s="358">
        <v>50001</v>
      </c>
      <c r="C55" s="349" t="s">
        <v>388</v>
      </c>
      <c r="D55" s="350">
        <v>56000</v>
      </c>
      <c r="E55" s="351"/>
      <c r="F55" s="350">
        <v>14550</v>
      </c>
      <c r="G55" s="352" t="s">
        <v>390</v>
      </c>
      <c r="H55" s="354">
        <f>42%</f>
        <v>0.42</v>
      </c>
      <c r="I55" s="352" t="s">
        <v>391</v>
      </c>
      <c r="J55" s="360">
        <v>50000</v>
      </c>
    </row>
    <row r="56" spans="2:10">
      <c r="B56" s="358">
        <v>56001</v>
      </c>
      <c r="C56" s="349" t="s">
        <v>388</v>
      </c>
      <c r="D56" s="355" t="s">
        <v>155</v>
      </c>
      <c r="E56" s="351"/>
      <c r="F56" s="350">
        <v>17070</v>
      </c>
      <c r="G56" s="352" t="s">
        <v>390</v>
      </c>
      <c r="H56" s="354">
        <f>43%</f>
        <v>0.43</v>
      </c>
      <c r="I56" s="352" t="s">
        <v>391</v>
      </c>
      <c r="J56" s="360">
        <v>56000</v>
      </c>
    </row>
    <row r="57" spans="2:10">
      <c r="B57" s="358"/>
      <c r="C57" s="352"/>
      <c r="D57" s="350"/>
      <c r="E57" s="351"/>
      <c r="F57" s="350"/>
      <c r="G57" s="352"/>
      <c r="H57" s="356"/>
      <c r="I57" s="352"/>
      <c r="J57" s="360"/>
    </row>
    <row r="58" spans="2:10">
      <c r="B58" s="361" t="s">
        <v>392</v>
      </c>
      <c r="C58" s="352"/>
      <c r="D58" s="350"/>
      <c r="E58" s="351"/>
      <c r="F58" s="350"/>
      <c r="G58" s="352"/>
      <c r="H58" s="352"/>
      <c r="I58" s="352"/>
      <c r="J58" s="360"/>
    </row>
    <row r="59" spans="2:10">
      <c r="B59" s="358"/>
      <c r="C59" s="362" t="s">
        <v>159</v>
      </c>
      <c r="D59" s="350"/>
      <c r="E59" s="351"/>
      <c r="F59" s="350"/>
      <c r="G59" s="352"/>
      <c r="H59" s="352"/>
      <c r="I59" s="352"/>
      <c r="J59" s="363">
        <v>2225</v>
      </c>
    </row>
    <row r="60" spans="2:10">
      <c r="B60" s="358"/>
      <c r="C60" s="362" t="s">
        <v>393</v>
      </c>
      <c r="D60" s="350"/>
      <c r="E60" s="351"/>
      <c r="F60" s="350"/>
      <c r="G60" s="352"/>
      <c r="H60" s="352"/>
      <c r="I60" s="352"/>
      <c r="J60" s="363"/>
    </row>
    <row r="61" spans="2:10">
      <c r="B61" s="361" t="s">
        <v>394</v>
      </c>
      <c r="C61" s="352"/>
      <c r="D61" s="350"/>
      <c r="E61" s="351"/>
      <c r="F61" s="350"/>
      <c r="G61" s="352"/>
      <c r="H61" s="352"/>
      <c r="I61" s="352"/>
      <c r="J61" s="363"/>
    </row>
    <row r="62" spans="2:10">
      <c r="B62" s="358"/>
      <c r="C62" s="362" t="s">
        <v>395</v>
      </c>
      <c r="D62" s="350"/>
      <c r="E62" s="351"/>
      <c r="F62" s="350"/>
      <c r="G62" s="352"/>
      <c r="H62" s="352"/>
      <c r="I62" s="352"/>
      <c r="J62" s="363"/>
    </row>
    <row r="63" spans="2:10">
      <c r="B63" s="366"/>
      <c r="C63" s="367" t="s">
        <v>163</v>
      </c>
      <c r="D63" s="368"/>
      <c r="E63" s="369"/>
      <c r="F63" s="368"/>
      <c r="G63" s="347"/>
      <c r="H63" s="347"/>
      <c r="I63" s="347"/>
      <c r="J63" s="370"/>
    </row>
    <row r="64" spans="2:10">
      <c r="B64" s="686" t="s">
        <v>419</v>
      </c>
      <c r="C64" s="687"/>
      <c r="D64" s="687"/>
      <c r="E64" s="687"/>
      <c r="F64" s="687"/>
      <c r="G64" s="687"/>
      <c r="H64" s="687"/>
      <c r="I64" s="687"/>
      <c r="J64" s="688"/>
    </row>
    <row r="65" spans="2:10">
      <c r="B65" s="689" t="s">
        <v>385</v>
      </c>
      <c r="C65" s="690"/>
      <c r="D65" s="690"/>
      <c r="E65" s="348"/>
      <c r="F65" s="690" t="s">
        <v>386</v>
      </c>
      <c r="G65" s="690"/>
      <c r="H65" s="690"/>
      <c r="I65" s="690"/>
      <c r="J65" s="691"/>
    </row>
    <row r="66" spans="2:10">
      <c r="B66" s="371"/>
      <c r="C66" s="372" t="s">
        <v>387</v>
      </c>
      <c r="D66" s="372"/>
      <c r="E66" s="372"/>
      <c r="F66" s="373" t="s">
        <v>387</v>
      </c>
      <c r="G66" s="372"/>
      <c r="H66" s="372"/>
      <c r="I66" s="372"/>
      <c r="J66" s="374" t="s">
        <v>387</v>
      </c>
    </row>
    <row r="67" spans="2:10">
      <c r="B67" s="359">
        <v>0</v>
      </c>
      <c r="C67" s="349" t="s">
        <v>388</v>
      </c>
      <c r="D67" s="350">
        <v>160000</v>
      </c>
      <c r="E67" s="351"/>
      <c r="F67" s="350"/>
      <c r="G67" s="352"/>
      <c r="H67" s="353">
        <v>0.18</v>
      </c>
      <c r="I67" s="352" t="s">
        <v>396</v>
      </c>
      <c r="J67" s="360"/>
    </row>
    <row r="68" spans="2:10">
      <c r="B68" s="358">
        <f>D67</f>
        <v>160000</v>
      </c>
      <c r="C68" s="349" t="s">
        <v>388</v>
      </c>
      <c r="D68" s="350">
        <v>250000</v>
      </c>
      <c r="E68" s="351"/>
      <c r="F68" s="351">
        <f>F67+(D67-B67)*H67</f>
        <v>28800</v>
      </c>
      <c r="G68" s="352" t="s">
        <v>390</v>
      </c>
      <c r="H68" s="353">
        <v>0.25</v>
      </c>
      <c r="I68" s="352" t="s">
        <v>391</v>
      </c>
      <c r="J68" s="360">
        <f>B68</f>
        <v>160000</v>
      </c>
    </row>
    <row r="69" spans="2:10">
      <c r="B69" s="358">
        <f>D68</f>
        <v>250000</v>
      </c>
      <c r="C69" s="349" t="s">
        <v>388</v>
      </c>
      <c r="D69" s="350">
        <v>346000</v>
      </c>
      <c r="E69" s="351"/>
      <c r="F69" s="351">
        <f>F68+(D68-B68)*H68</f>
        <v>51300</v>
      </c>
      <c r="G69" s="352" t="s">
        <v>390</v>
      </c>
      <c r="H69" s="356">
        <v>0.3</v>
      </c>
      <c r="I69" s="352" t="s">
        <v>391</v>
      </c>
      <c r="J69" s="360">
        <f>B69</f>
        <v>250000</v>
      </c>
    </row>
    <row r="70" spans="2:10">
      <c r="B70" s="358">
        <f>D69</f>
        <v>346000</v>
      </c>
      <c r="C70" s="349" t="s">
        <v>388</v>
      </c>
      <c r="D70" s="350">
        <v>484000</v>
      </c>
      <c r="E70" s="351"/>
      <c r="F70" s="351">
        <f>F69+(D69-B69)*H69</f>
        <v>80100</v>
      </c>
      <c r="G70" s="352" t="s">
        <v>390</v>
      </c>
      <c r="H70" s="356">
        <v>0.35</v>
      </c>
      <c r="I70" s="352" t="s">
        <v>391</v>
      </c>
      <c r="J70" s="360">
        <f>B70</f>
        <v>346000</v>
      </c>
    </row>
    <row r="71" spans="2:10">
      <c r="B71" s="358">
        <f>D70</f>
        <v>484000</v>
      </c>
      <c r="C71" s="349" t="s">
        <v>388</v>
      </c>
      <c r="D71" s="350">
        <v>617000</v>
      </c>
      <c r="E71" s="351"/>
      <c r="F71" s="351">
        <f>F70+(D70-B70)*H70</f>
        <v>128400</v>
      </c>
      <c r="G71" s="352" t="s">
        <v>390</v>
      </c>
      <c r="H71" s="356">
        <v>0.38</v>
      </c>
      <c r="I71" s="352" t="s">
        <v>391</v>
      </c>
      <c r="J71" s="360">
        <f>B71</f>
        <v>484000</v>
      </c>
    </row>
    <row r="72" spans="2:10">
      <c r="B72" s="358">
        <f>D71</f>
        <v>617000</v>
      </c>
      <c r="C72" s="349" t="s">
        <v>388</v>
      </c>
      <c r="D72" s="357" t="s">
        <v>397</v>
      </c>
      <c r="E72" s="351"/>
      <c r="F72" s="351">
        <f>F71+(D71-B71)*H71</f>
        <v>178940</v>
      </c>
      <c r="G72" s="352" t="s">
        <v>390</v>
      </c>
      <c r="H72" s="356">
        <v>0.4</v>
      </c>
      <c r="I72" s="352" t="s">
        <v>391</v>
      </c>
      <c r="J72" s="360">
        <f>B72</f>
        <v>617000</v>
      </c>
    </row>
    <row r="73" spans="2:10">
      <c r="B73" s="358"/>
      <c r="C73" s="352"/>
      <c r="D73" s="350"/>
      <c r="E73" s="351"/>
      <c r="F73" s="350"/>
      <c r="G73" s="352"/>
      <c r="H73" s="356"/>
      <c r="I73" s="352"/>
      <c r="J73" s="360"/>
    </row>
    <row r="74" spans="2:10">
      <c r="B74" s="361" t="s">
        <v>392</v>
      </c>
      <c r="C74" s="352"/>
      <c r="D74" s="350"/>
      <c r="E74" s="351"/>
      <c r="F74" s="350"/>
      <c r="G74" s="352"/>
      <c r="H74" s="352"/>
      <c r="I74" s="352"/>
      <c r="J74" s="360"/>
    </row>
    <row r="75" spans="2:10">
      <c r="B75" s="358"/>
      <c r="C75" s="362" t="s">
        <v>159</v>
      </c>
      <c r="D75" s="364"/>
      <c r="E75" s="365"/>
      <c r="F75" s="364"/>
      <c r="G75" s="362"/>
      <c r="H75" s="362">
        <f>66082*0.18-J75</f>
        <v>454.76000000000022</v>
      </c>
      <c r="I75" s="362"/>
      <c r="J75" s="363">
        <v>11440</v>
      </c>
    </row>
    <row r="76" spans="2:10">
      <c r="B76" s="358"/>
      <c r="C76" s="362" t="s">
        <v>393</v>
      </c>
      <c r="D76" s="364"/>
      <c r="E76" s="365"/>
      <c r="F76" s="364"/>
      <c r="G76" s="362"/>
      <c r="H76" s="362"/>
      <c r="I76" s="362"/>
      <c r="J76" s="363">
        <v>6390</v>
      </c>
    </row>
    <row r="77" spans="2:10">
      <c r="B77" s="358"/>
      <c r="C77" s="362" t="s">
        <v>420</v>
      </c>
      <c r="D77" s="364"/>
      <c r="E77" s="365"/>
      <c r="F77" s="364"/>
      <c r="G77" s="362"/>
      <c r="H77" s="362"/>
      <c r="I77" s="362"/>
      <c r="J77" s="363">
        <v>2130</v>
      </c>
    </row>
    <row r="78" spans="2:10">
      <c r="B78" s="358"/>
      <c r="C78" s="352"/>
      <c r="D78" s="350"/>
      <c r="E78" s="351"/>
      <c r="F78" s="350"/>
      <c r="G78" s="352"/>
      <c r="H78" s="352"/>
      <c r="I78" s="352"/>
      <c r="J78" s="360"/>
    </row>
    <row r="79" spans="2:10">
      <c r="B79" s="361" t="s">
        <v>394</v>
      </c>
      <c r="C79" s="352"/>
      <c r="D79" s="350"/>
      <c r="E79" s="351"/>
      <c r="F79" s="350"/>
      <c r="G79" s="352"/>
      <c r="H79" s="352"/>
      <c r="I79" s="352"/>
      <c r="J79" s="360"/>
    </row>
    <row r="80" spans="2:10">
      <c r="B80" s="358"/>
      <c r="C80" s="362" t="s">
        <v>395</v>
      </c>
      <c r="D80" s="364"/>
      <c r="E80" s="365"/>
      <c r="F80" s="364"/>
      <c r="G80" s="362"/>
      <c r="H80" s="362"/>
      <c r="I80" s="362"/>
      <c r="J80" s="363">
        <f>J75/H67</f>
        <v>63555.555555555555</v>
      </c>
    </row>
    <row r="81" spans="2:10">
      <c r="B81" s="358"/>
      <c r="C81" s="362" t="s">
        <v>421</v>
      </c>
      <c r="D81" s="364"/>
      <c r="E81" s="365"/>
      <c r="F81" s="364"/>
      <c r="G81" s="362"/>
      <c r="H81" s="362"/>
      <c r="I81" s="362"/>
      <c r="J81" s="363">
        <f>(J76+J75)/H67</f>
        <v>99055.555555555562</v>
      </c>
    </row>
    <row r="82" spans="2:10">
      <c r="B82" s="358"/>
      <c r="C82" s="362" t="s">
        <v>422</v>
      </c>
      <c r="D82" s="364"/>
      <c r="E82" s="365"/>
      <c r="F82" s="364"/>
      <c r="G82" s="362"/>
      <c r="H82" s="362"/>
      <c r="I82" s="362"/>
      <c r="J82" s="363">
        <v>110889</v>
      </c>
    </row>
    <row r="83" spans="2:10">
      <c r="B83" s="345"/>
      <c r="C83" s="347"/>
      <c r="D83" s="347"/>
      <c r="E83" s="347"/>
      <c r="F83" s="347"/>
      <c r="G83" s="347"/>
      <c r="H83" s="347"/>
      <c r="I83" s="347"/>
      <c r="J83" s="346"/>
    </row>
  </sheetData>
  <mergeCells count="12">
    <mergeCell ref="B44:J44"/>
    <mergeCell ref="B45:D45"/>
    <mergeCell ref="F45:J45"/>
    <mergeCell ref="B64:J64"/>
    <mergeCell ref="B65:D65"/>
    <mergeCell ref="F65:J65"/>
    <mergeCell ref="B3:C3"/>
    <mergeCell ref="G2:I2"/>
    <mergeCell ref="G3:H3"/>
    <mergeCell ref="F2:F3"/>
    <mergeCell ref="B2:C2"/>
    <mergeCell ref="D2:E3"/>
  </mergeCells>
  <hyperlinks>
    <hyperlink ref="E28"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sheetPr codeName="Sheet15" enableFormatConditionsCalculation="0">
    <pageSetUpPr fitToPage="1"/>
  </sheetPr>
  <dimension ref="A1:K35"/>
  <sheetViews>
    <sheetView showGridLines="0" zoomScaleNormal="100" zoomScaleSheetLayoutView="90" workbookViewId="0"/>
  </sheetViews>
  <sheetFormatPr defaultColWidth="9.140625" defaultRowHeight="12.75"/>
  <cols>
    <col min="1" max="1" width="0.85546875" customWidth="1"/>
    <col min="2" max="2" width="2.7109375" style="427" customWidth="1"/>
    <col min="3" max="3" width="18.7109375" style="427" customWidth="1"/>
    <col min="4" max="5" width="10.7109375" style="427" customWidth="1"/>
    <col min="6" max="6" width="10.7109375" style="428" customWidth="1"/>
    <col min="7" max="11" width="10.7109375" style="429" customWidth="1"/>
    <col min="12" max="16384" width="9.140625" style="421"/>
  </cols>
  <sheetData>
    <row r="1" spans="1:11" s="410" customFormat="1" ht="27.95" customHeight="1">
      <c r="A1" s="692" t="s">
        <v>493</v>
      </c>
      <c r="B1" s="710"/>
      <c r="C1" s="710"/>
      <c r="D1" s="710"/>
      <c r="E1" s="710"/>
      <c r="F1" s="710"/>
      <c r="G1" s="710"/>
      <c r="H1" s="710"/>
      <c r="I1" s="710"/>
      <c r="J1" s="710"/>
      <c r="K1" s="710"/>
    </row>
    <row r="2" spans="1:11" s="410" customFormat="1" ht="15" customHeight="1">
      <c r="A2" s="90"/>
      <c r="B2" s="91" t="s">
        <v>183</v>
      </c>
      <c r="C2" s="92"/>
      <c r="D2" s="84" t="s">
        <v>467</v>
      </c>
      <c r="E2" s="67"/>
      <c r="F2" s="65" t="s">
        <v>468</v>
      </c>
      <c r="G2" s="67"/>
      <c r="H2" s="65" t="s">
        <v>469</v>
      </c>
      <c r="I2" s="67"/>
      <c r="J2" s="708" t="s">
        <v>470</v>
      </c>
      <c r="K2" s="709"/>
    </row>
    <row r="3" spans="1:11" ht="22.5">
      <c r="A3" s="420"/>
      <c r="B3" s="703" t="s">
        <v>95</v>
      </c>
      <c r="C3" s="702"/>
      <c r="D3" s="32" t="s">
        <v>18</v>
      </c>
      <c r="E3" s="33" t="s">
        <v>111</v>
      </c>
      <c r="F3" s="32" t="s">
        <v>18</v>
      </c>
      <c r="G3" s="33" t="s">
        <v>111</v>
      </c>
      <c r="H3" s="32" t="s">
        <v>18</v>
      </c>
      <c r="I3" s="33" t="s">
        <v>111</v>
      </c>
      <c r="J3" s="32" t="s">
        <v>18</v>
      </c>
      <c r="K3" s="86" t="s">
        <v>111</v>
      </c>
    </row>
    <row r="4" spans="1:11" ht="13.35" customHeight="1">
      <c r="A4" s="422"/>
      <c r="B4" s="315" t="s">
        <v>19</v>
      </c>
      <c r="C4" s="315" t="s">
        <v>44</v>
      </c>
      <c r="D4" s="423">
        <v>771</v>
      </c>
      <c r="E4" s="424">
        <v>3.3735149999999998</v>
      </c>
      <c r="F4" s="423">
        <v>902</v>
      </c>
      <c r="G4" s="424">
        <v>4.9033699999999998</v>
      </c>
      <c r="H4" s="423">
        <v>897</v>
      </c>
      <c r="I4" s="424">
        <v>4.2069799999999997</v>
      </c>
      <c r="J4" s="423">
        <v>848</v>
      </c>
      <c r="K4" s="425">
        <v>3.6637599999999999</v>
      </c>
    </row>
    <row r="5" spans="1:11" ht="13.35" customHeight="1">
      <c r="A5" s="422"/>
      <c r="B5" s="315" t="s">
        <v>20</v>
      </c>
      <c r="C5" s="445" t="s">
        <v>137</v>
      </c>
      <c r="D5" s="423">
        <v>27</v>
      </c>
      <c r="E5" s="424">
        <v>0.12581500000000001</v>
      </c>
      <c r="F5" s="423">
        <v>65</v>
      </c>
      <c r="G5" s="424">
        <v>0.43639299999999998</v>
      </c>
      <c r="H5" s="423">
        <v>55</v>
      </c>
      <c r="I5" s="424">
        <v>0.339563</v>
      </c>
      <c r="J5" s="423">
        <v>97</v>
      </c>
      <c r="K5" s="425">
        <v>0.53574299999999997</v>
      </c>
    </row>
    <row r="6" spans="1:11" ht="13.35" customHeight="1">
      <c r="A6" s="422"/>
      <c r="B6" s="315" t="s">
        <v>21</v>
      </c>
      <c r="C6" s="315" t="s">
        <v>45</v>
      </c>
      <c r="D6" s="423">
        <v>3631</v>
      </c>
      <c r="E6" s="424">
        <v>1.6557839999999999</v>
      </c>
      <c r="F6" s="423">
        <v>3421</v>
      </c>
      <c r="G6" s="424">
        <v>2.031488</v>
      </c>
      <c r="H6" s="423">
        <v>3610</v>
      </c>
      <c r="I6" s="424">
        <v>2.5866730000000002</v>
      </c>
      <c r="J6" s="423">
        <v>3078</v>
      </c>
      <c r="K6" s="425">
        <v>2.2793380000000001</v>
      </c>
    </row>
    <row r="7" spans="1:11" ht="13.35" customHeight="1">
      <c r="A7" s="422"/>
      <c r="B7" s="315" t="s">
        <v>22</v>
      </c>
      <c r="C7" s="315" t="s">
        <v>46</v>
      </c>
      <c r="D7" s="423">
        <v>3115</v>
      </c>
      <c r="E7" s="424">
        <v>1.7302230000000001</v>
      </c>
      <c r="F7" s="423">
        <v>3118</v>
      </c>
      <c r="G7" s="424">
        <v>2.396252</v>
      </c>
      <c r="H7" s="423">
        <v>3047</v>
      </c>
      <c r="I7" s="424">
        <v>4.2883240000000002</v>
      </c>
      <c r="J7" s="423">
        <v>3087</v>
      </c>
      <c r="K7" s="425">
        <v>2.4615870000000002</v>
      </c>
    </row>
    <row r="8" spans="1:11" ht="13.35" customHeight="1">
      <c r="A8" s="422"/>
      <c r="B8" s="315" t="s">
        <v>23</v>
      </c>
      <c r="C8" s="315" t="s">
        <v>47</v>
      </c>
      <c r="D8" s="423">
        <v>4405</v>
      </c>
      <c r="E8" s="424">
        <v>3.0031439999999998</v>
      </c>
      <c r="F8" s="423">
        <v>4373</v>
      </c>
      <c r="G8" s="424">
        <v>3.4218959999999998</v>
      </c>
      <c r="H8" s="423">
        <v>4004</v>
      </c>
      <c r="I8" s="424">
        <v>4.0865669999999996</v>
      </c>
      <c r="J8" s="423">
        <v>3954</v>
      </c>
      <c r="K8" s="425">
        <v>5.6468660000000002</v>
      </c>
    </row>
    <row r="9" spans="1:11" ht="13.35" customHeight="1">
      <c r="A9" s="422"/>
      <c r="B9" s="315" t="s">
        <v>24</v>
      </c>
      <c r="C9" s="315" t="s">
        <v>48</v>
      </c>
      <c r="D9" s="423">
        <v>7251</v>
      </c>
      <c r="E9" s="424">
        <v>5.5182190000000002</v>
      </c>
      <c r="F9" s="423">
        <v>6845</v>
      </c>
      <c r="G9" s="424">
        <v>5.3080119999999997</v>
      </c>
      <c r="H9" s="423">
        <v>5412</v>
      </c>
      <c r="I9" s="424">
        <v>5.0734130000000004</v>
      </c>
      <c r="J9" s="423">
        <v>5626</v>
      </c>
      <c r="K9" s="425">
        <v>5.5739429999999999</v>
      </c>
    </row>
    <row r="10" spans="1:11" s="426" customFormat="1" ht="13.35" customHeight="1">
      <c r="A10" s="422"/>
      <c r="B10" s="315" t="s">
        <v>25</v>
      </c>
      <c r="C10" s="315" t="s">
        <v>49</v>
      </c>
      <c r="D10" s="423">
        <v>11348</v>
      </c>
      <c r="E10" s="424">
        <v>8.4627949999999998</v>
      </c>
      <c r="F10" s="423">
        <v>10463</v>
      </c>
      <c r="G10" s="424">
        <v>8.1129770000000008</v>
      </c>
      <c r="H10" s="423">
        <v>8953</v>
      </c>
      <c r="I10" s="424">
        <v>7.5439679999999996</v>
      </c>
      <c r="J10" s="423">
        <v>8688</v>
      </c>
      <c r="K10" s="425">
        <v>8.2291570000000007</v>
      </c>
    </row>
    <row r="11" spans="1:11" s="1" customFormat="1" ht="13.35" customHeight="1">
      <c r="A11" s="26"/>
      <c r="B11" s="315" t="s">
        <v>26</v>
      </c>
      <c r="C11" s="315" t="s">
        <v>50</v>
      </c>
      <c r="D11" s="423">
        <v>17871</v>
      </c>
      <c r="E11" s="424">
        <v>15.45533</v>
      </c>
      <c r="F11" s="423">
        <v>16256</v>
      </c>
      <c r="G11" s="424">
        <v>14.884961000000001</v>
      </c>
      <c r="H11" s="423">
        <v>12611</v>
      </c>
      <c r="I11" s="424">
        <v>12.279468</v>
      </c>
      <c r="J11" s="423">
        <v>12730</v>
      </c>
      <c r="K11" s="425">
        <v>11.908333000000001</v>
      </c>
    </row>
    <row r="12" spans="1:11" s="1" customFormat="1" ht="13.35" customHeight="1">
      <c r="A12" s="26"/>
      <c r="B12" s="315" t="s">
        <v>27</v>
      </c>
      <c r="C12" s="315" t="s">
        <v>51</v>
      </c>
      <c r="D12" s="423">
        <v>22859</v>
      </c>
      <c r="E12" s="424">
        <v>22.220191</v>
      </c>
      <c r="F12" s="423">
        <v>20972</v>
      </c>
      <c r="G12" s="424">
        <v>20.796586999999999</v>
      </c>
      <c r="H12" s="423">
        <v>16776</v>
      </c>
      <c r="I12" s="424">
        <v>18.081185999999999</v>
      </c>
      <c r="J12" s="423">
        <v>15927</v>
      </c>
      <c r="K12" s="425">
        <v>17.670113000000001</v>
      </c>
    </row>
    <row r="13" spans="1:11" s="1" customFormat="1" ht="13.35" customHeight="1">
      <c r="A13" s="26"/>
      <c r="B13" s="246" t="s">
        <v>28</v>
      </c>
      <c r="C13" s="246" t="s">
        <v>52</v>
      </c>
      <c r="D13" s="423">
        <v>25893</v>
      </c>
      <c r="E13" s="424">
        <v>30.453624000000001</v>
      </c>
      <c r="F13" s="423">
        <v>25261</v>
      </c>
      <c r="G13" s="424">
        <v>26.600273000000001</v>
      </c>
      <c r="H13" s="423">
        <v>20334</v>
      </c>
      <c r="I13" s="424">
        <v>24.686558000000002</v>
      </c>
      <c r="J13" s="423">
        <v>19254</v>
      </c>
      <c r="K13" s="425">
        <v>24.622007</v>
      </c>
    </row>
    <row r="14" spans="1:11" s="1" customFormat="1" ht="13.35" customHeight="1">
      <c r="A14" s="26"/>
      <c r="B14" s="246" t="s">
        <v>29</v>
      </c>
      <c r="C14" s="246" t="s">
        <v>53</v>
      </c>
      <c r="D14" s="423">
        <v>30092</v>
      </c>
      <c r="E14" s="424">
        <v>46.498887000000003</v>
      </c>
      <c r="F14" s="423">
        <v>28687</v>
      </c>
      <c r="G14" s="424">
        <v>35.269559000000001</v>
      </c>
      <c r="H14" s="423">
        <v>23422</v>
      </c>
      <c r="I14" s="424">
        <v>30.249175999999999</v>
      </c>
      <c r="J14" s="423">
        <v>21538</v>
      </c>
      <c r="K14" s="425">
        <v>29.128543000000001</v>
      </c>
    </row>
    <row r="15" spans="1:11" customFormat="1" ht="13.35" customHeight="1">
      <c r="A15" s="26"/>
      <c r="B15" s="246" t="s">
        <v>30</v>
      </c>
      <c r="C15" s="246" t="s">
        <v>54</v>
      </c>
      <c r="D15" s="423">
        <v>31468</v>
      </c>
      <c r="E15" s="424">
        <v>51.246018999999997</v>
      </c>
      <c r="F15" s="423">
        <v>31246</v>
      </c>
      <c r="G15" s="424">
        <v>46.495713000000002</v>
      </c>
      <c r="H15" s="423">
        <v>24797</v>
      </c>
      <c r="I15" s="424">
        <v>41.323045</v>
      </c>
      <c r="J15" s="423">
        <v>23149</v>
      </c>
      <c r="K15" s="425">
        <v>33.989773</v>
      </c>
    </row>
    <row r="16" spans="1:11" customFormat="1" ht="13.35" customHeight="1">
      <c r="A16" s="26"/>
      <c r="B16" s="246" t="s">
        <v>31</v>
      </c>
      <c r="C16" s="246" t="s">
        <v>55</v>
      </c>
      <c r="D16" s="423">
        <v>34381</v>
      </c>
      <c r="E16" s="424">
        <v>65.854922999999999</v>
      </c>
      <c r="F16" s="423">
        <v>32431</v>
      </c>
      <c r="G16" s="424">
        <v>56.263787000000001</v>
      </c>
      <c r="H16" s="423">
        <v>26775</v>
      </c>
      <c r="I16" s="424">
        <v>57.271363999999998</v>
      </c>
      <c r="J16" s="423">
        <v>23682</v>
      </c>
      <c r="K16" s="425">
        <v>43.881768000000001</v>
      </c>
    </row>
    <row r="17" spans="1:11" customFormat="1" ht="13.35" customHeight="1">
      <c r="A17" s="26"/>
      <c r="B17" s="246" t="s">
        <v>32</v>
      </c>
      <c r="C17" s="246" t="s">
        <v>56</v>
      </c>
      <c r="D17" s="423">
        <v>35138</v>
      </c>
      <c r="E17" s="424">
        <v>77.586162000000002</v>
      </c>
      <c r="F17" s="423">
        <v>33183</v>
      </c>
      <c r="G17" s="424">
        <v>65.713909000000001</v>
      </c>
      <c r="H17" s="423">
        <v>27158</v>
      </c>
      <c r="I17" s="424">
        <v>64.224573000000007</v>
      </c>
      <c r="J17" s="423">
        <v>25139</v>
      </c>
      <c r="K17" s="425">
        <v>67.791172000000003</v>
      </c>
    </row>
    <row r="18" spans="1:11" customFormat="1" ht="13.35" customHeight="1">
      <c r="A18" s="26"/>
      <c r="B18" s="246" t="s">
        <v>33</v>
      </c>
      <c r="C18" s="246" t="s">
        <v>57</v>
      </c>
      <c r="D18" s="423">
        <v>32388</v>
      </c>
      <c r="E18" s="424">
        <v>75.954025999999999</v>
      </c>
      <c r="F18" s="423">
        <v>33005</v>
      </c>
      <c r="G18" s="424">
        <v>72.691765000000004</v>
      </c>
      <c r="H18" s="423">
        <v>26692</v>
      </c>
      <c r="I18" s="424">
        <v>71.776083999999997</v>
      </c>
      <c r="J18" s="423">
        <v>24894</v>
      </c>
      <c r="K18" s="425">
        <v>73.225763000000001</v>
      </c>
    </row>
    <row r="19" spans="1:11" customFormat="1" ht="13.35" customHeight="1">
      <c r="A19" s="26"/>
      <c r="B19" s="246" t="s">
        <v>34</v>
      </c>
      <c r="C19" s="246" t="s">
        <v>58</v>
      </c>
      <c r="D19" s="423">
        <v>31362</v>
      </c>
      <c r="E19" s="424">
        <v>90.063193999999996</v>
      </c>
      <c r="F19" s="423">
        <v>32091</v>
      </c>
      <c r="G19" s="424">
        <v>82.415974000000006</v>
      </c>
      <c r="H19" s="423">
        <v>25245</v>
      </c>
      <c r="I19" s="424">
        <v>68.770973999999995</v>
      </c>
      <c r="J19" s="423">
        <v>23553</v>
      </c>
      <c r="K19" s="425">
        <v>60.263624999999998</v>
      </c>
    </row>
    <row r="20" spans="1:11" customFormat="1" ht="13.35" customHeight="1">
      <c r="A20" s="26"/>
      <c r="B20" s="246" t="s">
        <v>35</v>
      </c>
      <c r="C20" s="246" t="s">
        <v>59</v>
      </c>
      <c r="D20" s="423">
        <v>116464</v>
      </c>
      <c r="E20" s="424">
        <v>364.39694800000001</v>
      </c>
      <c r="F20" s="423">
        <v>131959</v>
      </c>
      <c r="G20" s="424">
        <v>399.24179700000002</v>
      </c>
      <c r="H20" s="423">
        <v>110940</v>
      </c>
      <c r="I20" s="424">
        <v>389.14743800000002</v>
      </c>
      <c r="J20" s="423">
        <v>111856</v>
      </c>
      <c r="K20" s="425">
        <v>363.25948099999999</v>
      </c>
    </row>
    <row r="21" spans="1:11" customFormat="1" ht="13.35" customHeight="1">
      <c r="A21" s="26"/>
      <c r="B21" s="246" t="s">
        <v>36</v>
      </c>
      <c r="C21" s="246" t="s">
        <v>60</v>
      </c>
      <c r="D21" s="423">
        <v>122052</v>
      </c>
      <c r="E21" s="424">
        <v>450.21954299999999</v>
      </c>
      <c r="F21" s="423">
        <v>150163</v>
      </c>
      <c r="G21" s="424">
        <v>530.39688799999999</v>
      </c>
      <c r="H21" s="423">
        <v>130929</v>
      </c>
      <c r="I21" s="424">
        <v>597.83438899999999</v>
      </c>
      <c r="J21" s="423">
        <v>141237</v>
      </c>
      <c r="K21" s="425">
        <v>653.97238800000002</v>
      </c>
    </row>
    <row r="22" spans="1:11" customFormat="1" ht="13.35" customHeight="1">
      <c r="A22" s="26"/>
      <c r="B22" s="246" t="s">
        <v>37</v>
      </c>
      <c r="C22" s="246" t="s">
        <v>61</v>
      </c>
      <c r="D22" s="423">
        <v>58671</v>
      </c>
      <c r="E22" s="424">
        <v>263.36423500000001</v>
      </c>
      <c r="F22" s="423">
        <v>76671</v>
      </c>
      <c r="G22" s="424">
        <v>355.90895999999998</v>
      </c>
      <c r="H22" s="423">
        <v>68339</v>
      </c>
      <c r="I22" s="424">
        <v>438.431893</v>
      </c>
      <c r="J22" s="423">
        <v>79477</v>
      </c>
      <c r="K22" s="425">
        <v>527.15879900000004</v>
      </c>
    </row>
    <row r="23" spans="1:11" customFormat="1" ht="13.35" customHeight="1">
      <c r="A23" s="26"/>
      <c r="B23" s="246" t="s">
        <v>38</v>
      </c>
      <c r="C23" s="246" t="s">
        <v>62</v>
      </c>
      <c r="D23" s="423">
        <v>32377</v>
      </c>
      <c r="E23" s="424">
        <v>168.694411</v>
      </c>
      <c r="F23" s="423">
        <v>42746</v>
      </c>
      <c r="G23" s="424">
        <v>230.931287</v>
      </c>
      <c r="H23" s="423">
        <v>37008</v>
      </c>
      <c r="I23" s="424">
        <v>271.07230600000003</v>
      </c>
      <c r="J23" s="423">
        <v>45131</v>
      </c>
      <c r="K23" s="425">
        <v>365.22302999999999</v>
      </c>
    </row>
    <row r="24" spans="1:11" customFormat="1" ht="13.35" customHeight="1">
      <c r="A24" s="26"/>
      <c r="B24" s="246" t="s">
        <v>39</v>
      </c>
      <c r="C24" s="246" t="s">
        <v>63</v>
      </c>
      <c r="D24" s="423">
        <v>34841</v>
      </c>
      <c r="E24" s="424">
        <v>241.360961</v>
      </c>
      <c r="F24" s="423">
        <v>46241</v>
      </c>
      <c r="G24" s="424">
        <v>323.97544699999997</v>
      </c>
      <c r="H24" s="423">
        <v>42406</v>
      </c>
      <c r="I24" s="424">
        <v>382.31860599999999</v>
      </c>
      <c r="J24" s="423">
        <v>50524</v>
      </c>
      <c r="K24" s="425">
        <v>452.87944599999997</v>
      </c>
    </row>
    <row r="25" spans="1:11" customFormat="1" ht="13.35" customHeight="1">
      <c r="A25" s="26"/>
      <c r="B25" s="246" t="s">
        <v>40</v>
      </c>
      <c r="C25" s="246" t="s">
        <v>64</v>
      </c>
      <c r="D25" s="423">
        <v>12647</v>
      </c>
      <c r="E25" s="424">
        <v>149.34398899999999</v>
      </c>
      <c r="F25" s="423">
        <v>16524</v>
      </c>
      <c r="G25" s="424">
        <v>198.84545499999999</v>
      </c>
      <c r="H25" s="423">
        <v>14468</v>
      </c>
      <c r="I25" s="424">
        <v>204.07762</v>
      </c>
      <c r="J25" s="423">
        <v>17676</v>
      </c>
      <c r="K25" s="425">
        <v>230.37355600000001</v>
      </c>
    </row>
    <row r="26" spans="1:11" customFormat="1" ht="13.35" customHeight="1">
      <c r="A26" s="26"/>
      <c r="B26" s="246" t="s">
        <v>41</v>
      </c>
      <c r="C26" s="246" t="s">
        <v>65</v>
      </c>
      <c r="D26" s="423">
        <v>13478</v>
      </c>
      <c r="E26" s="424">
        <v>421.70110299999999</v>
      </c>
      <c r="F26" s="423">
        <v>16977</v>
      </c>
      <c r="G26" s="424">
        <v>561.74575400000003</v>
      </c>
      <c r="H26" s="423">
        <v>13553</v>
      </c>
      <c r="I26" s="424">
        <v>531.55470600000001</v>
      </c>
      <c r="J26" s="423">
        <v>16554</v>
      </c>
      <c r="K26" s="425">
        <v>580.28938100000005</v>
      </c>
    </row>
    <row r="27" spans="1:11" customFormat="1" ht="13.35" customHeight="1">
      <c r="A27" s="26"/>
      <c r="B27" s="246" t="s">
        <v>42</v>
      </c>
      <c r="C27" s="246" t="s">
        <v>66</v>
      </c>
      <c r="D27" s="423">
        <v>4444</v>
      </c>
      <c r="E27" s="424">
        <v>383.73631699999999</v>
      </c>
      <c r="F27" s="423">
        <v>5486</v>
      </c>
      <c r="G27" s="424">
        <v>722.41562299999998</v>
      </c>
      <c r="H27" s="423">
        <v>4230</v>
      </c>
      <c r="I27" s="424">
        <v>802.75523199999998</v>
      </c>
      <c r="J27" s="423">
        <v>5226</v>
      </c>
      <c r="K27" s="425">
        <v>791.84348999999997</v>
      </c>
    </row>
    <row r="28" spans="1:11" customFormat="1" ht="13.35" customHeight="1">
      <c r="A28" s="26"/>
      <c r="B28" s="246" t="s">
        <v>43</v>
      </c>
      <c r="C28" s="246" t="s">
        <v>67</v>
      </c>
      <c r="D28" s="423">
        <v>1066</v>
      </c>
      <c r="E28" s="424">
        <v>258.78568200000001</v>
      </c>
      <c r="F28" s="423">
        <v>1076</v>
      </c>
      <c r="G28" s="424">
        <v>326.37075800000002</v>
      </c>
      <c r="H28" s="423">
        <v>708</v>
      </c>
      <c r="I28" s="424">
        <v>235.16648699999999</v>
      </c>
      <c r="J28" s="423">
        <v>913</v>
      </c>
      <c r="K28" s="425">
        <v>310.88057700000002</v>
      </c>
    </row>
    <row r="29" spans="1:11" customFormat="1" ht="13.35" customHeight="1">
      <c r="A29" s="88"/>
      <c r="B29" s="75" t="s">
        <v>9</v>
      </c>
      <c r="C29" s="89"/>
      <c r="D29" s="20">
        <f t="shared" ref="D29:K29" si="0">SUM(D4:D28)</f>
        <v>688040</v>
      </c>
      <c r="E29" s="18">
        <f t="shared" si="0"/>
        <v>3200.8050400000002</v>
      </c>
      <c r="F29" s="20">
        <f t="shared" si="0"/>
        <v>770162</v>
      </c>
      <c r="G29" s="18">
        <f t="shared" si="0"/>
        <v>4097.574885</v>
      </c>
      <c r="H29" s="20">
        <f t="shared" si="0"/>
        <v>652369</v>
      </c>
      <c r="I29" s="18">
        <f t="shared" si="0"/>
        <v>4269.1465929999995</v>
      </c>
      <c r="J29" s="20">
        <f t="shared" si="0"/>
        <v>683838</v>
      </c>
      <c r="K29" s="25">
        <f t="shared" si="0"/>
        <v>4666.7516390000001</v>
      </c>
    </row>
    <row r="30" spans="1:11" s="1" customFormat="1" ht="13.35" customHeight="1">
      <c r="B30" s="29" t="s">
        <v>298</v>
      </c>
    </row>
    <row r="31" spans="1:11" customFormat="1" ht="13.35" customHeight="1">
      <c r="H31" s="1"/>
    </row>
    <row r="32" spans="1:11" customFormat="1" ht="13.35" customHeight="1">
      <c r="F32" s="560" t="s">
        <v>506</v>
      </c>
      <c r="H32" s="1"/>
    </row>
    <row r="33" spans="3:11" customFormat="1" ht="13.35" customHeight="1">
      <c r="H33" s="1"/>
    </row>
    <row r="34" spans="3:11" customFormat="1" ht="13.35" customHeight="1">
      <c r="C34" s="144" t="s">
        <v>317</v>
      </c>
      <c r="D34" s="171">
        <v>0</v>
      </c>
      <c r="E34" s="171">
        <v>0</v>
      </c>
      <c r="F34" s="171">
        <v>0</v>
      </c>
      <c r="G34" s="171">
        <v>0</v>
      </c>
      <c r="H34" s="171">
        <v>0</v>
      </c>
      <c r="I34" s="171">
        <v>0</v>
      </c>
      <c r="J34" s="171">
        <v>0</v>
      </c>
      <c r="K34" s="172">
        <v>0</v>
      </c>
    </row>
    <row r="35" spans="3:11" customFormat="1" ht="13.35" customHeight="1">
      <c r="C35" s="142"/>
      <c r="H35" s="1"/>
    </row>
  </sheetData>
  <mergeCells count="3">
    <mergeCell ref="B3:C3"/>
    <mergeCell ref="A1:K1"/>
    <mergeCell ref="J2:K2"/>
  </mergeCells>
  <phoneticPr fontId="7" type="noConversion"/>
  <hyperlinks>
    <hyperlink ref="F32"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sheetPr codeName="Sheet53"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494</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90</v>
      </c>
      <c r="F3" s="32" t="s">
        <v>18</v>
      </c>
      <c r="G3" s="134" t="s">
        <v>90</v>
      </c>
      <c r="H3" s="32" t="s">
        <v>18</v>
      </c>
      <c r="I3" s="134" t="s">
        <v>90</v>
      </c>
      <c r="J3" s="33" t="s">
        <v>18</v>
      </c>
      <c r="K3" s="86" t="s">
        <v>90</v>
      </c>
    </row>
    <row r="4" spans="1:11" ht="13.35" customHeight="1">
      <c r="A4" s="49"/>
      <c r="B4" s="16" t="s">
        <v>19</v>
      </c>
      <c r="C4" s="16" t="s">
        <v>44</v>
      </c>
      <c r="D4" s="62">
        <f>A2.6.2!D4/A2.6.2!D$29</f>
        <v>1.1205743852101622E-3</v>
      </c>
      <c r="E4" s="58">
        <f>A2.6.2!E4/A2.6.2!E$29</f>
        <v>1.0539582879437103E-3</v>
      </c>
      <c r="F4" s="62">
        <f>A2.6.2!F4/A2.6.2!F$29</f>
        <v>1.1711821668687887E-3</v>
      </c>
      <c r="G4" s="58">
        <f>A2.6.2!G4/A2.6.2!G$29</f>
        <v>1.1966517117111819E-3</v>
      </c>
      <c r="H4" s="62">
        <f>A2.6.2!H4/A2.6.2!H$29</f>
        <v>1.3749886950483545E-3</v>
      </c>
      <c r="I4" s="58">
        <f>A2.6.2!I4/A2.6.2!I$29</f>
        <v>9.854381685787195E-4</v>
      </c>
      <c r="J4" s="62">
        <f>A2.6.2!J4/A2.6.2!J$29</f>
        <v>1.2400597802403493E-3</v>
      </c>
      <c r="K4" s="59">
        <f>A2.6.2!K4/A2.6.2!K$29</f>
        <v>7.850771336065951E-4</v>
      </c>
    </row>
    <row r="5" spans="1:11" ht="13.35" customHeight="1">
      <c r="A5" s="49"/>
      <c r="B5" s="16" t="s">
        <v>20</v>
      </c>
      <c r="C5" s="50" t="s">
        <v>137</v>
      </c>
      <c r="D5" s="62">
        <f>A2.6.2!D5/A2.6.2!D$29</f>
        <v>3.9241904540433697E-5</v>
      </c>
      <c r="E5" s="58">
        <f>A2.6.2!E5/A2.6.2!E$29</f>
        <v>3.9307298766312866E-5</v>
      </c>
      <c r="F5" s="62">
        <f>A2.6.2!F5/A2.6.2!F$29</f>
        <v>8.4397827989435992E-5</v>
      </c>
      <c r="G5" s="58">
        <f>A2.6.2!G5/A2.6.2!G$29</f>
        <v>1.0650031109803622E-4</v>
      </c>
      <c r="H5" s="62">
        <f>A2.6.2!H5/A2.6.2!H$29</f>
        <v>8.4308113966175588E-5</v>
      </c>
      <c r="I5" s="58">
        <f>A2.6.2!I5/A2.6.2!I$29</f>
        <v>7.9538847543153467E-5</v>
      </c>
      <c r="J5" s="62">
        <f>A2.6.2!J5/A2.6.2!J$29</f>
        <v>1.4184646071145504E-4</v>
      </c>
      <c r="K5" s="59">
        <f>A2.6.2!K5/A2.6.2!K$29</f>
        <v>1.1479998110951539E-4</v>
      </c>
    </row>
    <row r="6" spans="1:11" ht="13.35" customHeight="1">
      <c r="A6" s="49"/>
      <c r="B6" s="16" t="s">
        <v>21</v>
      </c>
      <c r="C6" s="16" t="s">
        <v>45</v>
      </c>
      <c r="D6" s="62">
        <f>A2.6.2!D6/A2.6.2!D$29</f>
        <v>5.277309458752398E-3</v>
      </c>
      <c r="E6" s="58">
        <f>A2.6.2!E6/A2.6.2!E$29</f>
        <v>5.1730235965886874E-4</v>
      </c>
      <c r="F6" s="62">
        <f>A2.6.2!F6/A2.6.2!F$29</f>
        <v>4.441922608490162E-3</v>
      </c>
      <c r="G6" s="58">
        <f>A2.6.2!G6/A2.6.2!G$29</f>
        <v>4.9577812657839934E-4</v>
      </c>
      <c r="H6" s="62">
        <f>A2.6.2!H6/A2.6.2!H$29</f>
        <v>5.533678025779888E-3</v>
      </c>
      <c r="I6" s="58">
        <f>A2.6.2!I6/A2.6.2!I$29</f>
        <v>6.0589931585888757E-4</v>
      </c>
      <c r="J6" s="62">
        <f>A2.6.2!J6/A2.6.2!J$29</f>
        <v>4.5010660419573054E-3</v>
      </c>
      <c r="K6" s="59">
        <f>A2.6.2!K6/A2.6.2!K$29</f>
        <v>4.8842067809042879E-4</v>
      </c>
    </row>
    <row r="7" spans="1:11" ht="13.35" customHeight="1">
      <c r="A7" s="49"/>
      <c r="B7" s="16" t="s">
        <v>22</v>
      </c>
      <c r="C7" s="16" t="s">
        <v>46</v>
      </c>
      <c r="D7" s="62">
        <f>A2.6.2!D7/A2.6.2!D$29</f>
        <v>4.5273530608685546E-3</v>
      </c>
      <c r="E7" s="58">
        <f>A2.6.2!E7/A2.6.2!E$29</f>
        <v>5.4055869644594162E-4</v>
      </c>
      <c r="F7" s="62">
        <f>A2.6.2!F7/A2.6.2!F$29</f>
        <v>4.0484988872470989E-3</v>
      </c>
      <c r="G7" s="58">
        <f>A2.6.2!G7/A2.6.2!G$29</f>
        <v>5.8479761011127928E-4</v>
      </c>
      <c r="H7" s="62">
        <f>A2.6.2!H7/A2.6.2!H$29</f>
        <v>4.6706695137261273E-3</v>
      </c>
      <c r="I7" s="58">
        <f>A2.6.2!I7/A2.6.2!I$29</f>
        <v>1.0044920938136548E-3</v>
      </c>
      <c r="J7" s="62">
        <f>A2.6.2!J7/A2.6.2!J$29</f>
        <v>4.5142270537758943E-3</v>
      </c>
      <c r="K7" s="59">
        <f>A2.6.2!K7/A2.6.2!K$29</f>
        <v>5.2747332414875914E-4</v>
      </c>
    </row>
    <row r="8" spans="1:11" ht="13.35" customHeight="1">
      <c r="A8" s="49"/>
      <c r="B8" s="16" t="s">
        <v>23</v>
      </c>
      <c r="C8" s="16" t="s">
        <v>47</v>
      </c>
      <c r="D8" s="62">
        <f>A2.6.2!D8/A2.6.2!D$29</f>
        <v>6.4022440555781641E-3</v>
      </c>
      <c r="E8" s="58">
        <f>A2.6.2!E8/A2.6.2!E$29</f>
        <v>9.3824646064666274E-4</v>
      </c>
      <c r="F8" s="62">
        <f>A2.6.2!F8/A2.6.2!F$29</f>
        <v>5.6780261815046707E-3</v>
      </c>
      <c r="G8" s="58">
        <f>A2.6.2!G8/A2.6.2!G$29</f>
        <v>8.3510273662759421E-4</v>
      </c>
      <c r="H8" s="62">
        <f>A2.6.2!H8/A2.6.2!H$29</f>
        <v>6.1376306967375824E-3</v>
      </c>
      <c r="I8" s="58">
        <f>A2.6.2!I8/A2.6.2!I$29</f>
        <v>9.5723276560721285E-4</v>
      </c>
      <c r="J8" s="62">
        <f>A2.6.2!J8/A2.6.2!J$29</f>
        <v>5.7820711922999309E-3</v>
      </c>
      <c r="K8" s="59">
        <f>A2.6.2!K8/A2.6.2!K$29</f>
        <v>1.21002068179699E-3</v>
      </c>
    </row>
    <row r="9" spans="1:11" ht="13.35" customHeight="1">
      <c r="A9" s="49"/>
      <c r="B9" s="16" t="s">
        <v>24</v>
      </c>
      <c r="C9" s="16" t="s">
        <v>48</v>
      </c>
      <c r="D9" s="62">
        <f>A2.6.2!D9/A2.6.2!D$29</f>
        <v>1.053863147491425E-2</v>
      </c>
      <c r="E9" s="58">
        <f>A2.6.2!E9/A2.6.2!E$29</f>
        <v>1.7240097197547526E-3</v>
      </c>
      <c r="F9" s="62">
        <f>A2.6.2!F9/A2.6.2!F$29</f>
        <v>8.8877405013490663E-3</v>
      </c>
      <c r="G9" s="58">
        <f>A2.6.2!G9/A2.6.2!G$29</f>
        <v>1.2954032931603151E-3</v>
      </c>
      <c r="H9" s="62">
        <f>A2.6.2!H9/A2.6.2!H$29</f>
        <v>8.2959184142716771E-3</v>
      </c>
      <c r="I9" s="58">
        <f>A2.6.2!I9/A2.6.2!I$29</f>
        <v>1.1883904404497924E-3</v>
      </c>
      <c r="J9" s="62">
        <f>A2.6.2!J9/A2.6.2!J$29</f>
        <v>8.2270947212643927E-3</v>
      </c>
      <c r="K9" s="59">
        <f>A2.6.2!K9/A2.6.2!K$29</f>
        <v>1.1943946091792436E-3</v>
      </c>
    </row>
    <row r="10" spans="1:11" s="51" customFormat="1" ht="13.35" customHeight="1">
      <c r="A10" s="49"/>
      <c r="B10" s="16" t="s">
        <v>25</v>
      </c>
      <c r="C10" s="16" t="s">
        <v>49</v>
      </c>
      <c r="D10" s="62">
        <f>A2.6.2!D10/A2.6.2!D$29</f>
        <v>1.6493227137957096E-2</v>
      </c>
      <c r="E10" s="58">
        <f>A2.6.2!E10/A2.6.2!E$29</f>
        <v>2.6439582836947791E-3</v>
      </c>
      <c r="F10" s="62">
        <f>A2.6.2!F10/A2.6.2!F$29</f>
        <v>1.3585453450053365E-2</v>
      </c>
      <c r="G10" s="58">
        <f>A2.6.2!G10/A2.6.2!G$29</f>
        <v>1.9799459992053325E-3</v>
      </c>
      <c r="H10" s="62">
        <f>A2.6.2!H10/A2.6.2!H$29</f>
        <v>1.3723828078893999E-2</v>
      </c>
      <c r="I10" s="58">
        <f>A2.6.2!I10/A2.6.2!I$29</f>
        <v>1.7670904092095673E-3</v>
      </c>
      <c r="J10" s="62">
        <f>A2.6.2!J10/A2.6.2!J$29</f>
        <v>1.270476340887754E-2</v>
      </c>
      <c r="K10" s="59">
        <f>A2.6.2!K10/A2.6.2!K$29</f>
        <v>1.7633586778497087E-3</v>
      </c>
    </row>
    <row r="11" spans="1:11" s="1" customFormat="1" ht="13.35" customHeight="1">
      <c r="A11" s="26"/>
      <c r="B11" s="16" t="s">
        <v>26</v>
      </c>
      <c r="C11" s="16" t="s">
        <v>50</v>
      </c>
      <c r="D11" s="62">
        <f>A2.6.2!D11/A2.6.2!D$29</f>
        <v>2.5973780594151504E-2</v>
      </c>
      <c r="E11" s="58">
        <f>A2.6.2!E11/A2.6.2!E$29</f>
        <v>4.8285758760239893E-3</v>
      </c>
      <c r="F11" s="62">
        <f>A2.6.2!F11/A2.6.2!F$29</f>
        <v>2.1107247566096485E-2</v>
      </c>
      <c r="G11" s="58">
        <f>A2.6.2!G11/A2.6.2!G$29</f>
        <v>3.6326269605198441E-3</v>
      </c>
      <c r="H11" s="62">
        <f>A2.6.2!H11/A2.6.2!H$29</f>
        <v>1.933108409504437E-2</v>
      </c>
      <c r="I11" s="58">
        <f>A2.6.2!I11/A2.6.2!I$29</f>
        <v>2.8763284962231798E-3</v>
      </c>
      <c r="J11" s="62">
        <f>A2.6.2!J11/A2.6.2!J$29</f>
        <v>1.8615520050070337E-2</v>
      </c>
      <c r="K11" s="59">
        <f>A2.6.2!K11/A2.6.2!K$29</f>
        <v>2.5517391798788205E-3</v>
      </c>
    </row>
    <row r="12" spans="1:11" s="1" customFormat="1" ht="13.35" customHeight="1">
      <c r="A12" s="26"/>
      <c r="B12" s="16" t="s">
        <v>27</v>
      </c>
      <c r="C12" s="16" t="s">
        <v>51</v>
      </c>
      <c r="D12" s="62">
        <f>A2.6.2!D12/A2.6.2!D$29</f>
        <v>3.3223359107028658E-2</v>
      </c>
      <c r="E12" s="58">
        <f>A2.6.2!E12/A2.6.2!E$29</f>
        <v>6.9420632379409144E-3</v>
      </c>
      <c r="F12" s="62">
        <f>A2.6.2!F12/A2.6.2!F$29</f>
        <v>2.7230634593760794E-2</v>
      </c>
      <c r="G12" s="58">
        <f>A2.6.2!G12/A2.6.2!G$29</f>
        <v>5.07534031315208E-3</v>
      </c>
      <c r="H12" s="62">
        <f>A2.6.2!H12/A2.6.2!H$29</f>
        <v>2.5715507634482937E-2</v>
      </c>
      <c r="I12" s="58">
        <f>A2.6.2!I12/A2.6.2!I$29</f>
        <v>4.2353162642967601E-3</v>
      </c>
      <c r="J12" s="62">
        <f>A2.6.2!J12/A2.6.2!J$29</f>
        <v>2.3290603914962314E-2</v>
      </c>
      <c r="K12" s="59">
        <f>A2.6.2!K12/A2.6.2!K$29</f>
        <v>3.7863838418850126E-3</v>
      </c>
    </row>
    <row r="13" spans="1:11" s="1" customFormat="1" ht="13.35" customHeight="1">
      <c r="A13" s="26"/>
      <c r="B13" s="27" t="s">
        <v>28</v>
      </c>
      <c r="C13" s="27" t="s">
        <v>52</v>
      </c>
      <c r="D13" s="62">
        <f>A2.6.2!D13/A2.6.2!D$29</f>
        <v>3.7632986454275916E-2</v>
      </c>
      <c r="E13" s="58">
        <f>A2.6.2!E13/A2.6.2!E$29</f>
        <v>9.5143639238958466E-3</v>
      </c>
      <c r="F13" s="62">
        <f>A2.6.2!F13/A2.6.2!F$29</f>
        <v>3.2799592812940655E-2</v>
      </c>
      <c r="G13" s="58">
        <f>A2.6.2!G13/A2.6.2!G$29</f>
        <v>6.491711255205041E-3</v>
      </c>
      <c r="H13" s="62">
        <f>A2.6.2!H13/A2.6.2!H$29</f>
        <v>3.1169476170694807E-2</v>
      </c>
      <c r="I13" s="58">
        <f>A2.6.2!I13/A2.6.2!I$29</f>
        <v>5.7825510233070615E-3</v>
      </c>
      <c r="J13" s="62">
        <f>A2.6.2!J13/A2.6.2!J$29</f>
        <v>2.8155791283900573E-2</v>
      </c>
      <c r="K13" s="59">
        <f>A2.6.2!K13/A2.6.2!K$29</f>
        <v>5.2760482889713089E-3</v>
      </c>
    </row>
    <row r="14" spans="1:11" s="1" customFormat="1" ht="13.35" customHeight="1">
      <c r="A14" s="26"/>
      <c r="B14" s="27" t="s">
        <v>29</v>
      </c>
      <c r="C14" s="27" t="s">
        <v>53</v>
      </c>
      <c r="D14" s="62">
        <f>A2.6.2!D14/A2.6.2!D$29</f>
        <v>4.3735829312249286E-2</v>
      </c>
      <c r="E14" s="58">
        <f>A2.6.2!E14/A2.6.2!E$29</f>
        <v>1.4527247495211393E-2</v>
      </c>
      <c r="F14" s="62">
        <f>A2.6.2!F14/A2.6.2!F$29</f>
        <v>3.7248007562045389E-2</v>
      </c>
      <c r="G14" s="58">
        <f>A2.6.2!G14/A2.6.2!G$29</f>
        <v>8.6074226804521235E-3</v>
      </c>
      <c r="H14" s="62">
        <f>A2.6.2!H14/A2.6.2!H$29</f>
        <v>3.5902993551195722E-2</v>
      </c>
      <c r="I14" s="58">
        <f>A2.6.2!I14/A2.6.2!I$29</f>
        <v>7.085532281697407E-3</v>
      </c>
      <c r="J14" s="62">
        <f>A2.6.2!J14/A2.6.2!J$29</f>
        <v>3.149576361652906E-2</v>
      </c>
      <c r="K14" s="59">
        <f>A2.6.2!K14/A2.6.2!K$29</f>
        <v>6.2417169914449778E-3</v>
      </c>
    </row>
    <row r="15" spans="1:11" customFormat="1" ht="13.35" customHeight="1">
      <c r="A15" s="26"/>
      <c r="B15" s="27" t="s">
        <v>30</v>
      </c>
      <c r="C15" s="27" t="s">
        <v>54</v>
      </c>
      <c r="D15" s="62">
        <f>A2.6.2!D15/A2.6.2!D$29</f>
        <v>4.5735713039939535E-2</v>
      </c>
      <c r="E15" s="58">
        <f>A2.6.2!E15/A2.6.2!E$29</f>
        <v>1.6010353132910587E-2</v>
      </c>
      <c r="F15" s="62">
        <f>A2.6.2!F15/A2.6.2!F$29</f>
        <v>4.0570685128583334E-2</v>
      </c>
      <c r="G15" s="58">
        <f>A2.6.2!G15/A2.6.2!G$29</f>
        <v>1.134712953513234E-2</v>
      </c>
      <c r="H15" s="62">
        <f>A2.6.2!H15/A2.6.2!H$29</f>
        <v>3.8010696400350111E-2</v>
      </c>
      <c r="I15" s="58">
        <f>A2.6.2!I15/A2.6.2!I$29</f>
        <v>9.6794626513308883E-3</v>
      </c>
      <c r="J15" s="62">
        <f>A2.6.2!J15/A2.6.2!J$29</f>
        <v>3.3851584732056419E-2</v>
      </c>
      <c r="K15" s="59">
        <f>A2.6.2!K15/A2.6.2!K$29</f>
        <v>7.2833901671449115E-3</v>
      </c>
    </row>
    <row r="16" spans="1:11" customFormat="1" ht="13.35" customHeight="1">
      <c r="A16" s="26"/>
      <c r="B16" s="27" t="s">
        <v>31</v>
      </c>
      <c r="C16" s="27" t="s">
        <v>55</v>
      </c>
      <c r="D16" s="62">
        <f>A2.6.2!D16/A2.6.2!D$29</f>
        <v>4.9969478518690776E-2</v>
      </c>
      <c r="E16" s="58">
        <f>A2.6.2!E16/A2.6.2!E$29</f>
        <v>2.0574487410829619E-2</v>
      </c>
      <c r="F16" s="62">
        <f>A2.6.2!F16/A2.6.2!F$29</f>
        <v>4.2109322454236903E-2</v>
      </c>
      <c r="G16" s="58">
        <f>A2.6.2!G16/A2.6.2!G$29</f>
        <v>1.373099664534868E-2</v>
      </c>
      <c r="H16" s="62">
        <f>A2.6.2!H16/A2.6.2!H$29</f>
        <v>4.1042722753533663E-2</v>
      </c>
      <c r="I16" s="58">
        <f>A2.6.2!I16/A2.6.2!I$29</f>
        <v>1.3415178596562192E-2</v>
      </c>
      <c r="J16" s="62">
        <f>A2.6.2!J16/A2.6.2!J$29</f>
        <v>3.4631009098646172E-2</v>
      </c>
      <c r="K16" s="59">
        <f>A2.6.2!K16/A2.6.2!K$29</f>
        <v>9.4030647856381457E-3</v>
      </c>
    </row>
    <row r="17" spans="1:11" customFormat="1" ht="13.35" customHeight="1">
      <c r="A17" s="26"/>
      <c r="B17" s="27" t="s">
        <v>32</v>
      </c>
      <c r="C17" s="27" t="s">
        <v>56</v>
      </c>
      <c r="D17" s="62">
        <f>A2.6.2!D17/A2.6.2!D$29</f>
        <v>5.1069705249694786E-2</v>
      </c>
      <c r="E17" s="58">
        <f>A2.6.2!E17/A2.6.2!E$29</f>
        <v>2.4239577553277034E-2</v>
      </c>
      <c r="F17" s="62">
        <f>A2.6.2!F17/A2.6.2!F$29</f>
        <v>4.3085740402668528E-2</v>
      </c>
      <c r="G17" s="58">
        <f>A2.6.2!G17/A2.6.2!G$29</f>
        <v>1.6037268590394536E-2</v>
      </c>
      <c r="H17" s="62">
        <f>A2.6.2!H17/A2.6.2!H$29</f>
        <v>4.1629813801698119E-2</v>
      </c>
      <c r="I17" s="58">
        <f>A2.6.2!I17/A2.6.2!I$29</f>
        <v>1.5043890295382981E-2</v>
      </c>
      <c r="J17" s="62">
        <f>A2.6.2!J17/A2.6.2!J$29</f>
        <v>3.6761630678611018E-2</v>
      </c>
      <c r="K17" s="59">
        <f>A2.6.2!K17/A2.6.2!K$29</f>
        <v>1.4526415212129527E-2</v>
      </c>
    </row>
    <row r="18" spans="1:11" customFormat="1" ht="13.35" customHeight="1">
      <c r="A18" s="26"/>
      <c r="B18" s="27" t="s">
        <v>33</v>
      </c>
      <c r="C18" s="27" t="s">
        <v>57</v>
      </c>
      <c r="D18" s="62">
        <f>A2.6.2!D18/A2.6.2!D$29</f>
        <v>4.7072844602058017E-2</v>
      </c>
      <c r="E18" s="58">
        <f>A2.6.2!E18/A2.6.2!E$29</f>
        <v>2.372966333494651E-2</v>
      </c>
      <c r="F18" s="62">
        <f>A2.6.2!F18/A2.6.2!F$29</f>
        <v>4.2854620196789768E-2</v>
      </c>
      <c r="G18" s="58">
        <f>A2.6.2!G18/A2.6.2!G$29</f>
        <v>1.7740191952587098E-2</v>
      </c>
      <c r="H18" s="62">
        <f>A2.6.2!H18/A2.6.2!H$29</f>
        <v>4.0915494145184701E-2</v>
      </c>
      <c r="I18" s="58">
        <f>A2.6.2!I18/A2.6.2!I$29</f>
        <v>1.6812747568258547E-2</v>
      </c>
      <c r="J18" s="62">
        <f>A2.6.2!J18/A2.6.2!J$29</f>
        <v>3.6403358690216103E-2</v>
      </c>
      <c r="K18" s="59">
        <f>A2.6.2!K18/A2.6.2!K$29</f>
        <v>1.5690949222164081E-2</v>
      </c>
    </row>
    <row r="19" spans="1:11" customFormat="1" ht="13.35" customHeight="1">
      <c r="A19" s="26"/>
      <c r="B19" s="27" t="s">
        <v>34</v>
      </c>
      <c r="C19" s="27" t="s">
        <v>58</v>
      </c>
      <c r="D19" s="62">
        <f>A2.6.2!D19/A2.6.2!D$29</f>
        <v>4.5581652229521541E-2</v>
      </c>
      <c r="E19" s="58">
        <f>A2.6.2!E19/A2.6.2!E$29</f>
        <v>2.8137669390823E-2</v>
      </c>
      <c r="F19" s="62">
        <f>A2.6.2!F19/A2.6.2!F$29</f>
        <v>4.1667856892446002E-2</v>
      </c>
      <c r="G19" s="58">
        <f>A2.6.2!G19/A2.6.2!G$29</f>
        <v>2.0113353950332993E-2</v>
      </c>
      <c r="H19" s="62">
        <f>A2.6.2!H19/A2.6.2!H$29</f>
        <v>3.8697424310474592E-2</v>
      </c>
      <c r="I19" s="58">
        <f>A2.6.2!I19/A2.6.2!I$29</f>
        <v>1.6108834049587767E-2</v>
      </c>
      <c r="J19" s="62">
        <f>A2.6.2!J19/A2.6.2!J$29</f>
        <v>3.4442367929246404E-2</v>
      </c>
      <c r="K19" s="59">
        <f>A2.6.2!K19/A2.6.2!K$29</f>
        <v>1.2913398796794208E-2</v>
      </c>
    </row>
    <row r="20" spans="1:11" customFormat="1" ht="13.35" customHeight="1">
      <c r="A20" s="26"/>
      <c r="B20" s="27" t="s">
        <v>35</v>
      </c>
      <c r="C20" s="27" t="s">
        <v>59</v>
      </c>
      <c r="D20" s="62">
        <f>A2.6.2!D20/A2.6.2!D$29</f>
        <v>0.16926922853322482</v>
      </c>
      <c r="E20" s="58">
        <f>A2.6.2!E20/A2.6.2!E$29</f>
        <v>0.11384540559208817</v>
      </c>
      <c r="F20" s="62">
        <f>A2.6.2!F20/A2.6.2!F$29</f>
        <v>0.17133927667166129</v>
      </c>
      <c r="G20" s="58">
        <f>A2.6.2!G20/A2.6.2!G$29</f>
        <v>9.7433679238299029E-2</v>
      </c>
      <c r="H20" s="62">
        <f>A2.6.2!H20/A2.6.2!H$29</f>
        <v>0.17005713024377309</v>
      </c>
      <c r="I20" s="58">
        <f>A2.6.2!I20/A2.6.2!I$29</f>
        <v>9.1153449412600215E-2</v>
      </c>
      <c r="J20" s="62">
        <f>A2.6.2!J20/A2.6.2!J$29</f>
        <v>0.16357090422000534</v>
      </c>
      <c r="K20" s="59">
        <f>A2.6.2!K20/A2.6.2!K$29</f>
        <v>7.7839900020443317E-2</v>
      </c>
    </row>
    <row r="21" spans="1:11" customFormat="1" ht="13.35" customHeight="1">
      <c r="A21" s="26"/>
      <c r="B21" s="27" t="s">
        <v>36</v>
      </c>
      <c r="C21" s="27" t="s">
        <v>60</v>
      </c>
      <c r="D21" s="62">
        <f>A2.6.2!D21/A2.6.2!D$29</f>
        <v>0.17739084936922273</v>
      </c>
      <c r="E21" s="58">
        <f>A2.6.2!E21/A2.6.2!E$29</f>
        <v>0.14065822109552789</v>
      </c>
      <c r="F21" s="62">
        <f>A2.6.2!F21/A2.6.2!F$29</f>
        <v>0.19497586222119503</v>
      </c>
      <c r="G21" s="58">
        <f>A2.6.2!G21/A2.6.2!G$29</f>
        <v>0.1294416582700233</v>
      </c>
      <c r="H21" s="62">
        <f>A2.6.2!H21/A2.6.2!H$29</f>
        <v>0.20069776460868005</v>
      </c>
      <c r="I21" s="58">
        <f>A2.6.2!I21/A2.6.2!I$29</f>
        <v>0.14003604139062648</v>
      </c>
      <c r="J21" s="62">
        <f>A2.6.2!J21/A2.6.2!J$29</f>
        <v>0.2065357584691111</v>
      </c>
      <c r="K21" s="59">
        <f>A2.6.2!K21/A2.6.2!K$29</f>
        <v>0.14013438866871741</v>
      </c>
    </row>
    <row r="22" spans="1:11" customFormat="1" ht="13.35" customHeight="1">
      <c r="A22" s="26"/>
      <c r="B22" s="27" t="s">
        <v>37</v>
      </c>
      <c r="C22" s="27" t="s">
        <v>61</v>
      </c>
      <c r="D22" s="62">
        <f>A2.6.2!D22/A2.6.2!D$29</f>
        <v>8.5272658566362416E-2</v>
      </c>
      <c r="E22" s="58">
        <f>A2.6.2!E22/A2.6.2!E$29</f>
        <v>8.2280623689595281E-2</v>
      </c>
      <c r="F22" s="62">
        <f>A2.6.2!F22/A2.6.2!F$29</f>
        <v>9.9551782611969952E-2</v>
      </c>
      <c r="G22" s="58">
        <f>A2.6.2!G22/A2.6.2!G$29</f>
        <v>8.6858439440088475E-2</v>
      </c>
      <c r="H22" s="62">
        <f>A2.6.2!H22/A2.6.2!H$29</f>
        <v>0.10475513091517225</v>
      </c>
      <c r="I22" s="58">
        <f>A2.6.2!I22/A2.6.2!I$29</f>
        <v>0.10269778360829411</v>
      </c>
      <c r="J22" s="62">
        <f>A2.6.2!J22/A2.6.2!J$29</f>
        <v>0.11622197070066302</v>
      </c>
      <c r="K22" s="59">
        <f>A2.6.2!K22/A2.6.2!K$29</f>
        <v>0.11296054295980502</v>
      </c>
    </row>
    <row r="23" spans="1:11" customFormat="1" ht="13.35" customHeight="1">
      <c r="A23" s="26"/>
      <c r="B23" s="27" t="s">
        <v>38</v>
      </c>
      <c r="C23" s="27" t="s">
        <v>62</v>
      </c>
      <c r="D23" s="62">
        <f>A2.6.2!D23/A2.6.2!D$29</f>
        <v>4.7056857159467474E-2</v>
      </c>
      <c r="E23" s="58">
        <f>A2.6.2!E23/A2.6.2!E$29</f>
        <v>5.2703744492979175E-2</v>
      </c>
      <c r="F23" s="62">
        <f>A2.6.2!F23/A2.6.2!F$29</f>
        <v>5.5502608542098937E-2</v>
      </c>
      <c r="G23" s="58">
        <f>A2.6.2!G23/A2.6.2!G$29</f>
        <v>5.6358039445568303E-2</v>
      </c>
      <c r="H23" s="62">
        <f>A2.6.2!H23/A2.6.2!H$29</f>
        <v>5.6728630575640475E-2</v>
      </c>
      <c r="I23" s="58">
        <f>A2.6.2!I23/A2.6.2!I$29</f>
        <v>6.3495665959203584E-2</v>
      </c>
      <c r="J23" s="62">
        <f>A2.6.2!J23/A2.6.2!J$29</f>
        <v>6.5996624931635856E-2</v>
      </c>
      <c r="K23" s="59">
        <f>A2.6.2!K23/A2.6.2!K$29</f>
        <v>7.8260652859225358E-2</v>
      </c>
    </row>
    <row r="24" spans="1:11" customFormat="1" ht="13.35" customHeight="1">
      <c r="A24" s="26"/>
      <c r="B24" s="27" t="s">
        <v>39</v>
      </c>
      <c r="C24" s="27" t="s">
        <v>63</v>
      </c>
      <c r="D24" s="62">
        <f>A2.6.2!D24/A2.6.2!D$29</f>
        <v>5.0638044299750017E-2</v>
      </c>
      <c r="E24" s="58">
        <f>A2.6.2!E24/A2.6.2!E$29</f>
        <v>7.5406329965039043E-2</v>
      </c>
      <c r="F24" s="62">
        <f>A2.6.2!F24/A2.6.2!F$29</f>
        <v>6.0040614831684762E-2</v>
      </c>
      <c r="G24" s="58">
        <f>A2.6.2!G24/A2.6.2!G$29</f>
        <v>7.9065168079289413E-2</v>
      </c>
      <c r="H24" s="62">
        <f>A2.6.2!H24/A2.6.2!H$29</f>
        <v>6.500308874272076E-2</v>
      </c>
      <c r="I24" s="58">
        <f>A2.6.2!I24/A2.6.2!I$29</f>
        <v>8.9553871639563076E-2</v>
      </c>
      <c r="J24" s="62">
        <f>A2.6.2!J24/A2.6.2!J$29</f>
        <v>7.388299568026345E-2</v>
      </c>
      <c r="K24" s="59">
        <f>A2.6.2!K24/A2.6.2!K$29</f>
        <v>9.704382856273959E-2</v>
      </c>
    </row>
    <row r="25" spans="1:11" customFormat="1" ht="13.35" customHeight="1">
      <c r="A25" s="26"/>
      <c r="B25" s="27" t="s">
        <v>40</v>
      </c>
      <c r="C25" s="27" t="s">
        <v>64</v>
      </c>
      <c r="D25" s="62">
        <f>A2.6.2!D25/A2.6.2!D$29</f>
        <v>1.8381198767513516E-2</v>
      </c>
      <c r="E25" s="58">
        <f>A2.6.2!E25/A2.6.2!E$29</f>
        <v>4.6658258511115061E-2</v>
      </c>
      <c r="F25" s="62">
        <f>A2.6.2!F25/A2.6.2!F$29</f>
        <v>2.1455226303037544E-2</v>
      </c>
      <c r="G25" s="58">
        <f>A2.6.2!G25/A2.6.2!G$29</f>
        <v>4.852759512166914E-2</v>
      </c>
      <c r="H25" s="62">
        <f>A2.6.2!H25/A2.6.2!H$29</f>
        <v>2.2177632597502335E-2</v>
      </c>
      <c r="I25" s="58">
        <f>A2.6.2!I25/A2.6.2!I$29</f>
        <v>4.780290757282038E-2</v>
      </c>
      <c r="J25" s="62">
        <f>A2.6.2!J25/A2.6.2!J$29</f>
        <v>2.5848227211708034E-2</v>
      </c>
      <c r="K25" s="59">
        <f>A2.6.2!K25/A2.6.2!K$29</f>
        <v>4.9364863146941516E-2</v>
      </c>
    </row>
    <row r="26" spans="1:11" customFormat="1" ht="13.35" customHeight="1">
      <c r="A26" s="26"/>
      <c r="B26" s="27" t="s">
        <v>41</v>
      </c>
      <c r="C26" s="27" t="s">
        <v>65</v>
      </c>
      <c r="D26" s="62">
        <f>A2.6.2!D26/A2.6.2!D$29</f>
        <v>1.9588977385035754E-2</v>
      </c>
      <c r="E26" s="58">
        <f>A2.6.2!E26/A2.6.2!E$29</f>
        <v>0.13174845007117333</v>
      </c>
      <c r="F26" s="62">
        <f>A2.6.2!F26/A2.6.2!F$29</f>
        <v>2.2043414242717767E-2</v>
      </c>
      <c r="G26" s="58">
        <f>A2.6.2!G26/A2.6.2!G$29</f>
        <v>0.1370922484068281</v>
      </c>
      <c r="H26" s="62">
        <f>A2.6.2!H26/A2.6.2!H$29</f>
        <v>2.0775052156065048E-2</v>
      </c>
      <c r="I26" s="58">
        <f>A2.6.2!I26/A2.6.2!I$29</f>
        <v>0.12451076448664831</v>
      </c>
      <c r="J26" s="62">
        <f>A2.6.2!J26/A2.6.2!J$29</f>
        <v>2.4207487738323989E-2</v>
      </c>
      <c r="K26" s="59">
        <f>A2.6.2!K26/A2.6.2!K$29</f>
        <v>0.12434546037344843</v>
      </c>
    </row>
    <row r="27" spans="1:11" customFormat="1" ht="13.35" customHeight="1">
      <c r="A27" s="26"/>
      <c r="B27" s="27" t="s">
        <v>42</v>
      </c>
      <c r="C27" s="27" t="s">
        <v>66</v>
      </c>
      <c r="D27" s="62">
        <f>A2.6.2!D27/A2.6.2!D$29</f>
        <v>6.4589268065810123E-3</v>
      </c>
      <c r="E27" s="58">
        <f>A2.6.2!E27/A2.6.2!E$29</f>
        <v>0.11988743838018949</v>
      </c>
      <c r="F27" s="62">
        <f>A2.6.2!F27/A2.6.2!F$29</f>
        <v>7.1231766823083974E-3</v>
      </c>
      <c r="G27" s="58">
        <f>A2.6.2!G27/A2.6.2!G$29</f>
        <v>0.17630321428524667</v>
      </c>
      <c r="H27" s="62">
        <f>A2.6.2!H27/A2.6.2!H$29</f>
        <v>6.4840604013985947E-3</v>
      </c>
      <c r="I27" s="58">
        <f>A2.6.2!I27/A2.6.2!I$29</f>
        <v>0.18803646455154652</v>
      </c>
      <c r="J27" s="62">
        <f>A2.6.2!J27/A2.6.2!J$29</f>
        <v>7.6421608626604546E-3</v>
      </c>
      <c r="K27" s="59">
        <f>A2.6.2!K27/A2.6.2!K$29</f>
        <v>0.16967765830574125</v>
      </c>
    </row>
    <row r="28" spans="1:11" customFormat="1" ht="13.35" customHeight="1">
      <c r="A28" s="26"/>
      <c r="B28" s="27" t="s">
        <v>43</v>
      </c>
      <c r="C28" s="27" t="s">
        <v>67</v>
      </c>
      <c r="D28" s="62">
        <f>A2.6.2!D28/A2.6.2!D$29</f>
        <v>1.549328527411197E-3</v>
      </c>
      <c r="E28" s="58">
        <f>A2.6.2!E28/A2.6.2!E$29</f>
        <v>8.0850185739522573E-2</v>
      </c>
      <c r="F28" s="62">
        <f>A2.6.2!F28/A2.6.2!F$29</f>
        <v>1.3971086602558942E-3</v>
      </c>
      <c r="G28" s="58">
        <f>A2.6.2!G28/A2.6.2!G$29</f>
        <v>7.9649736041370725E-2</v>
      </c>
      <c r="H28" s="62">
        <f>A2.6.2!H28/A2.6.2!H$29</f>
        <v>1.0852753579645876E-3</v>
      </c>
      <c r="I28" s="58">
        <f>A2.6.2!I28/A2.6.2!I$29</f>
        <v>5.5085128110989659E-2</v>
      </c>
      <c r="J28" s="62">
        <f>A2.6.2!J28/A2.6.2!J$29</f>
        <v>1.3351115322634893E-3</v>
      </c>
      <c r="K28" s="59">
        <f>A2.6.2!K28/A2.6.2!K$29</f>
        <v>6.6616053531105862E-2</v>
      </c>
    </row>
    <row r="29" spans="1:11" customFormat="1" ht="13.35" customHeight="1">
      <c r="A29" s="88"/>
      <c r="B29" s="75" t="s">
        <v>9</v>
      </c>
      <c r="C29" s="89"/>
      <c r="D29" s="63">
        <f>A2.6.2!D29/A2.6.2!D$29</f>
        <v>1</v>
      </c>
      <c r="E29" s="60">
        <f>A2.6.2!E29/A2.6.2!E$29</f>
        <v>1</v>
      </c>
      <c r="F29" s="63">
        <f>A2.6.2!F29/A2.6.2!F$29</f>
        <v>1</v>
      </c>
      <c r="G29" s="60">
        <f>A2.6.2!G29/A2.6.2!G$29</f>
        <v>1</v>
      </c>
      <c r="H29" s="63">
        <f>A2.6.2!H29/A2.6.2!H$29</f>
        <v>1</v>
      </c>
      <c r="I29" s="60">
        <f>A2.6.2!I29/A2.6.2!I$29</f>
        <v>1</v>
      </c>
      <c r="J29" s="63">
        <f>A2.6.2!J29/A2.6.2!J$29</f>
        <v>1</v>
      </c>
      <c r="K29" s="61">
        <f>A2.6.2!K29/A2.6.2!K$29</f>
        <v>1</v>
      </c>
    </row>
    <row r="30" spans="1:11" s="1" customFormat="1" ht="13.35" customHeight="1"/>
    <row r="31" spans="1:11">
      <c r="F31" s="560" t="s">
        <v>506</v>
      </c>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sheetPr codeName="Sheet10" enableFormatConditionsCalculation="0">
    <pageSetUpPr fitToPage="1"/>
  </sheetPr>
  <dimension ref="A1:K34"/>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438</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22.5">
      <c r="A3" s="80"/>
      <c r="B3" s="703" t="s">
        <v>95</v>
      </c>
      <c r="C3" s="702"/>
      <c r="D3" s="32" t="s">
        <v>18</v>
      </c>
      <c r="E3" s="33" t="s">
        <v>111</v>
      </c>
      <c r="F3" s="32" t="s">
        <v>18</v>
      </c>
      <c r="G3" s="33" t="s">
        <v>111</v>
      </c>
      <c r="H3" s="32" t="s">
        <v>18</v>
      </c>
      <c r="I3" s="33" t="s">
        <v>111</v>
      </c>
      <c r="J3" s="32" t="s">
        <v>18</v>
      </c>
      <c r="K3" s="86" t="s">
        <v>111</v>
      </c>
    </row>
    <row r="4" spans="1:11" ht="13.35" customHeight="1">
      <c r="A4" s="49"/>
      <c r="B4" s="16" t="s">
        <v>19</v>
      </c>
      <c r="C4" s="16" t="s">
        <v>44</v>
      </c>
      <c r="D4" s="19">
        <v>195</v>
      </c>
      <c r="E4" s="15">
        <v>8.6831589999999998</v>
      </c>
      <c r="F4" s="19">
        <v>197</v>
      </c>
      <c r="G4" s="15">
        <v>9.1087989999999994</v>
      </c>
      <c r="H4" s="19">
        <v>184</v>
      </c>
      <c r="I4" s="15">
        <v>8.628546</v>
      </c>
      <c r="J4" s="19">
        <v>167</v>
      </c>
      <c r="K4" s="24">
        <v>6.740221</v>
      </c>
    </row>
    <row r="5" spans="1:11" ht="13.35" customHeight="1">
      <c r="A5" s="49"/>
      <c r="B5" s="16" t="s">
        <v>20</v>
      </c>
      <c r="C5" s="50" t="s">
        <v>137</v>
      </c>
      <c r="D5" s="19">
        <v>3</v>
      </c>
      <c r="E5" s="15">
        <v>8.8812000000000002E-2</v>
      </c>
      <c r="F5" s="19">
        <v>15</v>
      </c>
      <c r="G5" s="15">
        <v>0.45374700000000001</v>
      </c>
      <c r="H5" s="19">
        <v>15</v>
      </c>
      <c r="I5" s="15">
        <v>0.51953000000000005</v>
      </c>
      <c r="J5" s="19">
        <v>34</v>
      </c>
      <c r="K5" s="24">
        <v>1.054257</v>
      </c>
    </row>
    <row r="6" spans="1:11" ht="13.35" customHeight="1">
      <c r="A6" s="49"/>
      <c r="B6" s="16" t="s">
        <v>21</v>
      </c>
      <c r="C6" s="16" t="s">
        <v>45</v>
      </c>
      <c r="D6" s="19">
        <v>247</v>
      </c>
      <c r="E6" s="15">
        <v>2.6045060000000002</v>
      </c>
      <c r="F6" s="19">
        <v>269</v>
      </c>
      <c r="G6" s="15">
        <v>2.507072</v>
      </c>
      <c r="H6" s="19">
        <v>305</v>
      </c>
      <c r="I6" s="15">
        <v>3.3452510000000002</v>
      </c>
      <c r="J6" s="19">
        <v>207</v>
      </c>
      <c r="K6" s="24">
        <v>2.3658160000000001</v>
      </c>
    </row>
    <row r="7" spans="1:11" ht="13.35" customHeight="1">
      <c r="A7" s="49"/>
      <c r="B7" s="16" t="s">
        <v>22</v>
      </c>
      <c r="C7" s="16" t="s">
        <v>46</v>
      </c>
      <c r="D7" s="19">
        <v>228</v>
      </c>
      <c r="E7" s="15">
        <v>2.694366</v>
      </c>
      <c r="F7" s="19">
        <v>254</v>
      </c>
      <c r="G7" s="15">
        <v>2.9451900000000002</v>
      </c>
      <c r="H7" s="19">
        <v>252</v>
      </c>
      <c r="I7" s="15">
        <v>2.6222379999999998</v>
      </c>
      <c r="J7" s="19">
        <v>164</v>
      </c>
      <c r="K7" s="24">
        <v>1.811841</v>
      </c>
    </row>
    <row r="8" spans="1:11" ht="13.35" customHeight="1">
      <c r="A8" s="49"/>
      <c r="B8" s="16" t="s">
        <v>23</v>
      </c>
      <c r="C8" s="16" t="s">
        <v>47</v>
      </c>
      <c r="D8" s="19">
        <v>330</v>
      </c>
      <c r="E8" s="15">
        <v>4.9275260000000003</v>
      </c>
      <c r="F8" s="19">
        <v>304</v>
      </c>
      <c r="G8" s="15">
        <v>4.4848720000000002</v>
      </c>
      <c r="H8" s="19">
        <v>292</v>
      </c>
      <c r="I8" s="15">
        <v>3.183799</v>
      </c>
      <c r="J8" s="19">
        <v>206</v>
      </c>
      <c r="K8" s="24">
        <v>2.867737</v>
      </c>
    </row>
    <row r="9" spans="1:11" ht="13.35" customHeight="1">
      <c r="A9" s="49"/>
      <c r="B9" s="16" t="s">
        <v>24</v>
      </c>
      <c r="C9" s="16" t="s">
        <v>48</v>
      </c>
      <c r="D9" s="19">
        <v>500</v>
      </c>
      <c r="E9" s="15">
        <v>7.7930039999999998</v>
      </c>
      <c r="F9" s="19">
        <v>477</v>
      </c>
      <c r="G9" s="15">
        <v>7.5998650000000003</v>
      </c>
      <c r="H9" s="19">
        <v>412</v>
      </c>
      <c r="I9" s="15">
        <v>5.7263010000000003</v>
      </c>
      <c r="J9" s="19">
        <v>278</v>
      </c>
      <c r="K9" s="24">
        <v>3.9627249999999998</v>
      </c>
    </row>
    <row r="10" spans="1:11" s="51" customFormat="1" ht="13.35" customHeight="1">
      <c r="A10" s="49"/>
      <c r="B10" s="16" t="s">
        <v>25</v>
      </c>
      <c r="C10" s="16" t="s">
        <v>49</v>
      </c>
      <c r="D10" s="19">
        <v>606</v>
      </c>
      <c r="E10" s="15">
        <v>8.8676820000000003</v>
      </c>
      <c r="F10" s="19">
        <v>536</v>
      </c>
      <c r="G10" s="15">
        <v>8.9179560000000002</v>
      </c>
      <c r="H10" s="19">
        <v>558</v>
      </c>
      <c r="I10" s="15">
        <v>9.051437</v>
      </c>
      <c r="J10" s="19">
        <v>417</v>
      </c>
      <c r="K10" s="24">
        <v>7.8885870000000002</v>
      </c>
    </row>
    <row r="11" spans="1:11" s="1" customFormat="1" ht="13.35" customHeight="1">
      <c r="A11" s="26"/>
      <c r="B11" s="16" t="s">
        <v>26</v>
      </c>
      <c r="C11" s="16" t="s">
        <v>50</v>
      </c>
      <c r="D11" s="19">
        <v>732</v>
      </c>
      <c r="E11" s="15">
        <v>12.283187</v>
      </c>
      <c r="F11" s="19">
        <v>620</v>
      </c>
      <c r="G11" s="15">
        <v>10.944516999999999</v>
      </c>
      <c r="H11" s="19">
        <v>594</v>
      </c>
      <c r="I11" s="15">
        <v>9.563936</v>
      </c>
      <c r="J11" s="19">
        <v>444</v>
      </c>
      <c r="K11" s="24">
        <v>7.503387</v>
      </c>
    </row>
    <row r="12" spans="1:11" s="1" customFormat="1" ht="13.35" customHeight="1">
      <c r="A12" s="26"/>
      <c r="B12" s="16" t="s">
        <v>27</v>
      </c>
      <c r="C12" s="16" t="s">
        <v>51</v>
      </c>
      <c r="D12" s="19">
        <v>825</v>
      </c>
      <c r="E12" s="15">
        <v>13.780805000000001</v>
      </c>
      <c r="F12" s="19">
        <v>780</v>
      </c>
      <c r="G12" s="15">
        <v>13.280203999999999</v>
      </c>
      <c r="H12" s="19">
        <v>690</v>
      </c>
      <c r="I12" s="15">
        <v>12.002190000000001</v>
      </c>
      <c r="J12" s="19">
        <v>497</v>
      </c>
      <c r="K12" s="24">
        <v>8.4611420000000006</v>
      </c>
    </row>
    <row r="13" spans="1:11" s="1" customFormat="1" ht="13.35" customHeight="1">
      <c r="A13" s="26"/>
      <c r="B13" s="27" t="s">
        <v>28</v>
      </c>
      <c r="C13" s="27" t="s">
        <v>52</v>
      </c>
      <c r="D13" s="19">
        <v>1079</v>
      </c>
      <c r="E13" s="15">
        <v>18.555973000000002</v>
      </c>
      <c r="F13" s="19">
        <v>957</v>
      </c>
      <c r="G13" s="15">
        <v>16.566188</v>
      </c>
      <c r="H13" s="19">
        <v>889</v>
      </c>
      <c r="I13" s="15">
        <v>16.259913999999998</v>
      </c>
      <c r="J13" s="19">
        <v>620</v>
      </c>
      <c r="K13" s="24">
        <v>12.559837</v>
      </c>
    </row>
    <row r="14" spans="1:11" s="1" customFormat="1" ht="13.35" customHeight="1">
      <c r="A14" s="26"/>
      <c r="B14" s="27" t="s">
        <v>29</v>
      </c>
      <c r="C14" s="27" t="s">
        <v>53</v>
      </c>
      <c r="D14" s="19">
        <v>1393</v>
      </c>
      <c r="E14" s="15">
        <v>24.397673999999999</v>
      </c>
      <c r="F14" s="19">
        <v>1245</v>
      </c>
      <c r="G14" s="15">
        <v>23.335902000000001</v>
      </c>
      <c r="H14" s="19">
        <v>977</v>
      </c>
      <c r="I14" s="15">
        <v>19.177897999999999</v>
      </c>
      <c r="J14" s="19">
        <v>727</v>
      </c>
      <c r="K14" s="24">
        <v>15.260180999999999</v>
      </c>
    </row>
    <row r="15" spans="1:11" customFormat="1" ht="13.35" customHeight="1">
      <c r="A15" s="26"/>
      <c r="B15" s="27" t="s">
        <v>30</v>
      </c>
      <c r="C15" s="27" t="s">
        <v>54</v>
      </c>
      <c r="D15" s="19">
        <v>1690</v>
      </c>
      <c r="E15" s="15">
        <v>30.636953999999999</v>
      </c>
      <c r="F15" s="19">
        <v>1585</v>
      </c>
      <c r="G15" s="15">
        <v>30.00827</v>
      </c>
      <c r="H15" s="19">
        <v>1211</v>
      </c>
      <c r="I15" s="15">
        <v>24.249527</v>
      </c>
      <c r="J15" s="19">
        <v>841</v>
      </c>
      <c r="K15" s="24">
        <v>17.472273999999999</v>
      </c>
    </row>
    <row r="16" spans="1:11" customFormat="1" ht="13.35" customHeight="1">
      <c r="A16" s="26"/>
      <c r="B16" s="27" t="s">
        <v>31</v>
      </c>
      <c r="C16" s="27" t="s">
        <v>55</v>
      </c>
      <c r="D16" s="19">
        <v>2081</v>
      </c>
      <c r="E16" s="15">
        <v>40.895277</v>
      </c>
      <c r="F16" s="19">
        <v>1824</v>
      </c>
      <c r="G16" s="15">
        <v>36.032470000000004</v>
      </c>
      <c r="H16" s="19">
        <v>1473</v>
      </c>
      <c r="I16" s="15">
        <v>30.599723000000001</v>
      </c>
      <c r="J16" s="19">
        <v>1031</v>
      </c>
      <c r="K16" s="24">
        <v>21.819517000000001</v>
      </c>
    </row>
    <row r="17" spans="1:11" customFormat="1" ht="13.35" customHeight="1">
      <c r="A17" s="26"/>
      <c r="B17" s="27" t="s">
        <v>32</v>
      </c>
      <c r="C17" s="27" t="s">
        <v>56</v>
      </c>
      <c r="D17" s="19">
        <v>2397</v>
      </c>
      <c r="E17" s="15">
        <v>49.011788000000003</v>
      </c>
      <c r="F17" s="19">
        <v>2094</v>
      </c>
      <c r="G17" s="15">
        <v>44.735061999999999</v>
      </c>
      <c r="H17" s="19">
        <v>1692</v>
      </c>
      <c r="I17" s="15">
        <v>37.167448</v>
      </c>
      <c r="J17" s="19">
        <v>1166</v>
      </c>
      <c r="K17" s="24">
        <v>26.822303999999999</v>
      </c>
    </row>
    <row r="18" spans="1:11" customFormat="1" ht="13.35" customHeight="1">
      <c r="A18" s="26"/>
      <c r="B18" s="27" t="s">
        <v>33</v>
      </c>
      <c r="C18" s="27" t="s">
        <v>57</v>
      </c>
      <c r="D18" s="19">
        <v>2618</v>
      </c>
      <c r="E18" s="15">
        <v>57.722090000000001</v>
      </c>
      <c r="F18" s="19">
        <v>2259</v>
      </c>
      <c r="G18" s="15">
        <v>51.252344000000001</v>
      </c>
      <c r="H18" s="19">
        <v>1957</v>
      </c>
      <c r="I18" s="15">
        <v>46.142937000000003</v>
      </c>
      <c r="J18" s="19">
        <v>1453</v>
      </c>
      <c r="K18" s="24">
        <v>34.258715000000002</v>
      </c>
    </row>
    <row r="19" spans="1:11" customFormat="1" ht="13.35" customHeight="1">
      <c r="A19" s="26"/>
      <c r="B19" s="27" t="s">
        <v>34</v>
      </c>
      <c r="C19" s="27" t="s">
        <v>58</v>
      </c>
      <c r="D19" s="19">
        <v>2840</v>
      </c>
      <c r="E19" s="15">
        <v>67.167271999999997</v>
      </c>
      <c r="F19" s="19">
        <v>2584</v>
      </c>
      <c r="G19" s="15">
        <v>62.408710999999997</v>
      </c>
      <c r="H19" s="19">
        <v>2094</v>
      </c>
      <c r="I19" s="15">
        <v>52.971449</v>
      </c>
      <c r="J19" s="19">
        <v>1634</v>
      </c>
      <c r="K19" s="24">
        <v>41.088425000000001</v>
      </c>
    </row>
    <row r="20" spans="1:11" customFormat="1" ht="13.35" customHeight="1">
      <c r="A20" s="26"/>
      <c r="B20" s="27" t="s">
        <v>35</v>
      </c>
      <c r="C20" s="27" t="s">
        <v>59</v>
      </c>
      <c r="D20" s="19">
        <v>15763</v>
      </c>
      <c r="E20" s="15">
        <v>422.81526400000001</v>
      </c>
      <c r="F20" s="19">
        <v>14209</v>
      </c>
      <c r="G20" s="15">
        <v>383.75166200000001</v>
      </c>
      <c r="H20" s="19">
        <v>12156</v>
      </c>
      <c r="I20" s="15">
        <v>341.17089800000002</v>
      </c>
      <c r="J20" s="19">
        <v>10048</v>
      </c>
      <c r="K20" s="24">
        <v>286.69085999999999</v>
      </c>
    </row>
    <row r="21" spans="1:11" customFormat="1" ht="13.35" customHeight="1">
      <c r="A21" s="26"/>
      <c r="B21" s="27" t="s">
        <v>36</v>
      </c>
      <c r="C21" s="27" t="s">
        <v>60</v>
      </c>
      <c r="D21" s="19">
        <v>27312</v>
      </c>
      <c r="E21" s="15">
        <v>885.27620899999999</v>
      </c>
      <c r="F21" s="19">
        <v>25981</v>
      </c>
      <c r="G21" s="15">
        <v>850.87524199999996</v>
      </c>
      <c r="H21" s="19">
        <v>24048</v>
      </c>
      <c r="I21" s="15">
        <v>821.164356</v>
      </c>
      <c r="J21" s="19">
        <v>22155</v>
      </c>
      <c r="K21" s="24">
        <v>771.30362400000001</v>
      </c>
    </row>
    <row r="22" spans="1:11" customFormat="1" ht="13.35" customHeight="1">
      <c r="A22" s="26"/>
      <c r="B22" s="27" t="s">
        <v>37</v>
      </c>
      <c r="C22" s="27" t="s">
        <v>61</v>
      </c>
      <c r="D22" s="19">
        <v>16336</v>
      </c>
      <c r="E22" s="15">
        <v>659.57623699999999</v>
      </c>
      <c r="F22" s="19">
        <v>16858</v>
      </c>
      <c r="G22" s="15">
        <v>686.00468799999999</v>
      </c>
      <c r="H22" s="19">
        <v>16377</v>
      </c>
      <c r="I22" s="15">
        <v>690.828214</v>
      </c>
      <c r="J22" s="19">
        <v>16204</v>
      </c>
      <c r="K22" s="24">
        <v>689.67105900000001</v>
      </c>
    </row>
    <row r="23" spans="1:11" customFormat="1" ht="13.35" customHeight="1">
      <c r="A23" s="26"/>
      <c r="B23" s="27" t="s">
        <v>38</v>
      </c>
      <c r="C23" s="27" t="s">
        <v>62</v>
      </c>
      <c r="D23" s="19">
        <v>9425</v>
      </c>
      <c r="E23" s="15">
        <v>434.683785</v>
      </c>
      <c r="F23" s="19">
        <v>9838</v>
      </c>
      <c r="G23" s="15">
        <v>460.10519799999997</v>
      </c>
      <c r="H23" s="19">
        <v>9883</v>
      </c>
      <c r="I23" s="15">
        <v>477.71288199999998</v>
      </c>
      <c r="J23" s="19">
        <v>10125</v>
      </c>
      <c r="K23" s="24">
        <v>496.23140100000001</v>
      </c>
    </row>
    <row r="24" spans="1:11" customFormat="1" ht="13.35" customHeight="1">
      <c r="A24" s="26"/>
      <c r="B24" s="27" t="s">
        <v>39</v>
      </c>
      <c r="C24" s="27" t="s">
        <v>63</v>
      </c>
      <c r="D24" s="19">
        <v>10540</v>
      </c>
      <c r="E24" s="15">
        <v>567.69771000000003</v>
      </c>
      <c r="F24" s="19">
        <v>11481</v>
      </c>
      <c r="G24" s="15">
        <v>632.82160599999997</v>
      </c>
      <c r="H24" s="19">
        <v>11061</v>
      </c>
      <c r="I24" s="15">
        <v>633.24109399999998</v>
      </c>
      <c r="J24" s="19">
        <v>11599</v>
      </c>
      <c r="K24" s="24">
        <v>671.44327599999997</v>
      </c>
    </row>
    <row r="25" spans="1:11" customFormat="1" ht="13.35" customHeight="1">
      <c r="A25" s="26"/>
      <c r="B25" s="27" t="s">
        <v>40</v>
      </c>
      <c r="C25" s="27" t="s">
        <v>64</v>
      </c>
      <c r="D25" s="19">
        <v>4176</v>
      </c>
      <c r="E25" s="15">
        <v>276.69479200000001</v>
      </c>
      <c r="F25" s="19">
        <v>4597</v>
      </c>
      <c r="G25" s="15">
        <v>305.42372399999999</v>
      </c>
      <c r="H25" s="19">
        <v>4503</v>
      </c>
      <c r="I25" s="15">
        <v>320.70909399999999</v>
      </c>
      <c r="J25" s="19">
        <v>4660</v>
      </c>
      <c r="K25" s="24">
        <v>330.65056099999998</v>
      </c>
    </row>
    <row r="26" spans="1:11" customFormat="1" ht="13.35" customHeight="1">
      <c r="A26" s="26"/>
      <c r="B26" s="27" t="s">
        <v>41</v>
      </c>
      <c r="C26" s="27" t="s">
        <v>65</v>
      </c>
      <c r="D26" s="19">
        <v>4388</v>
      </c>
      <c r="E26" s="15">
        <v>338.860724</v>
      </c>
      <c r="F26" s="19">
        <v>5104</v>
      </c>
      <c r="G26" s="15">
        <v>414.26334800000001</v>
      </c>
      <c r="H26" s="19">
        <v>4836</v>
      </c>
      <c r="I26" s="15">
        <v>424.89991500000002</v>
      </c>
      <c r="J26" s="19">
        <v>5353</v>
      </c>
      <c r="K26" s="24">
        <v>464.16207500000002</v>
      </c>
    </row>
    <row r="27" spans="1:11" customFormat="1" ht="13.35" customHeight="1">
      <c r="A27" s="26"/>
      <c r="B27" s="27" t="s">
        <v>42</v>
      </c>
      <c r="C27" s="27" t="s">
        <v>66</v>
      </c>
      <c r="D27" s="19">
        <v>1448</v>
      </c>
      <c r="E27" s="15">
        <v>143.83776</v>
      </c>
      <c r="F27" s="19">
        <v>1639</v>
      </c>
      <c r="G27" s="15">
        <v>167.89492200000001</v>
      </c>
      <c r="H27" s="19">
        <v>1612</v>
      </c>
      <c r="I27" s="15">
        <v>181.09914000000001</v>
      </c>
      <c r="J27" s="19">
        <v>1731</v>
      </c>
      <c r="K27" s="24">
        <v>194.742582</v>
      </c>
    </row>
    <row r="28" spans="1:11" customFormat="1" ht="13.35" customHeight="1">
      <c r="A28" s="26"/>
      <c r="B28" s="27" t="s">
        <v>43</v>
      </c>
      <c r="C28" s="27" t="s">
        <v>67</v>
      </c>
      <c r="D28" s="19">
        <v>309</v>
      </c>
      <c r="E28" s="15">
        <v>37.231093999999999</v>
      </c>
      <c r="F28" s="19">
        <v>318</v>
      </c>
      <c r="G28" s="15">
        <v>41.833159999999999</v>
      </c>
      <c r="H28" s="19">
        <v>298</v>
      </c>
      <c r="I28" s="15">
        <v>43.504669999999997</v>
      </c>
      <c r="J28" s="19">
        <v>289</v>
      </c>
      <c r="K28" s="24">
        <v>44.549892</v>
      </c>
    </row>
    <row r="29" spans="1:11" customFormat="1" ht="13.35" customHeight="1">
      <c r="A29" s="88"/>
      <c r="B29" s="75" t="s">
        <v>9</v>
      </c>
      <c r="C29" s="89"/>
      <c r="D29" s="20">
        <f t="shared" ref="D29:K29" si="0">SUM(D4:D28)</f>
        <v>107461</v>
      </c>
      <c r="E29" s="18">
        <f t="shared" si="0"/>
        <v>4116.7836500000003</v>
      </c>
      <c r="F29" s="20">
        <f t="shared" si="0"/>
        <v>106025</v>
      </c>
      <c r="G29" s="18">
        <f t="shared" si="0"/>
        <v>4267.5547189999997</v>
      </c>
      <c r="H29" s="20">
        <f t="shared" si="0"/>
        <v>98369</v>
      </c>
      <c r="I29" s="18">
        <f t="shared" si="0"/>
        <v>4215.5423869999995</v>
      </c>
      <c r="J29" s="20">
        <f t="shared" si="0"/>
        <v>92050</v>
      </c>
      <c r="K29" s="25">
        <f t="shared" si="0"/>
        <v>4161.3822960000007</v>
      </c>
    </row>
    <row r="30" spans="1:11" s="1" customFormat="1" ht="13.35" customHeight="1"/>
    <row r="31" spans="1:11" customFormat="1" ht="13.35" customHeight="1">
      <c r="F31" s="560" t="s">
        <v>506</v>
      </c>
      <c r="H31" s="1"/>
    </row>
    <row r="32" spans="1:11" customFormat="1" ht="13.35" customHeight="1">
      <c r="H32" s="1"/>
    </row>
    <row r="33" spans="3:11" customFormat="1" ht="13.35" customHeight="1">
      <c r="C33" s="144" t="s">
        <v>317</v>
      </c>
      <c r="D33" s="171">
        <f>A2.6.1!D5-D29</f>
        <v>0</v>
      </c>
      <c r="E33" s="171">
        <f>A2.6.1!E5-E29</f>
        <v>0</v>
      </c>
      <c r="F33" s="171">
        <f>A2.6.1!F5-F29</f>
        <v>0</v>
      </c>
      <c r="G33" s="171">
        <f>A2.6.1!G5-G29</f>
        <v>0</v>
      </c>
      <c r="H33" s="171">
        <f>A2.6.1!H5-H29</f>
        <v>0</v>
      </c>
      <c r="I33" s="171">
        <f>A2.6.1!I5-I29</f>
        <v>0</v>
      </c>
      <c r="J33" s="171">
        <f>A2.6.1!J5-J29</f>
        <v>0</v>
      </c>
      <c r="K33" s="172">
        <f>A2.6.1!K5-K29</f>
        <v>0</v>
      </c>
    </row>
    <row r="34" spans="3:11" customFormat="1" ht="13.35" customHeight="1">
      <c r="H34" s="1"/>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sheetPr codeName="Sheet52"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495</v>
      </c>
      <c r="B1" s="710"/>
      <c r="C1" s="710"/>
      <c r="D1" s="710"/>
      <c r="E1" s="710"/>
      <c r="F1" s="710"/>
      <c r="G1" s="710"/>
      <c r="H1" s="710"/>
      <c r="I1" s="710"/>
      <c r="J1" s="710"/>
      <c r="K1" s="710"/>
    </row>
    <row r="2" spans="1:11" s="8"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90</v>
      </c>
      <c r="F3" s="32" t="s">
        <v>18</v>
      </c>
      <c r="G3" s="134" t="s">
        <v>90</v>
      </c>
      <c r="H3" s="32" t="s">
        <v>18</v>
      </c>
      <c r="I3" s="134" t="s">
        <v>90</v>
      </c>
      <c r="J3" s="33" t="s">
        <v>18</v>
      </c>
      <c r="K3" s="86" t="s">
        <v>90</v>
      </c>
    </row>
    <row r="4" spans="1:11" ht="13.35" customHeight="1">
      <c r="A4" s="49"/>
      <c r="B4" s="16" t="s">
        <v>19</v>
      </c>
      <c r="C4" s="16" t="s">
        <v>44</v>
      </c>
      <c r="D4" s="62">
        <f>A2.6.3!D4/A2.6.3!D$29</f>
        <v>1.8146118126576153E-3</v>
      </c>
      <c r="E4" s="58">
        <f>A2.6.3!E4/A2.6.3!E$29</f>
        <v>2.10920945529892E-3</v>
      </c>
      <c r="F4" s="62">
        <f>A2.6.3!F4/A2.6.3!F$29</f>
        <v>1.8580523461447771E-3</v>
      </c>
      <c r="G4" s="58">
        <f>A2.6.3!G4/A2.6.3!G$29</f>
        <v>2.1344305110947543E-3</v>
      </c>
      <c r="H4" s="62">
        <f>A2.6.3!H4/A2.6.3!H$29</f>
        <v>1.8705079852392521E-3</v>
      </c>
      <c r="I4" s="58">
        <f>A2.6.3!I4/A2.6.3!I$29</f>
        <v>2.0468412384154733E-3</v>
      </c>
      <c r="J4" s="62">
        <f>A2.6.3!J4/A2.6.3!J$29</f>
        <v>1.8142313959804454E-3</v>
      </c>
      <c r="K4" s="59">
        <f>A2.6.3!K4/A2.6.3!K$29</f>
        <v>1.619707232012504E-3</v>
      </c>
    </row>
    <row r="5" spans="1:11" ht="13.35" customHeight="1">
      <c r="A5" s="49"/>
      <c r="B5" s="16" t="s">
        <v>20</v>
      </c>
      <c r="C5" s="50" t="s">
        <v>137</v>
      </c>
      <c r="D5" s="62">
        <f>A2.6.3!D5/A2.6.3!D$29</f>
        <v>2.7917104810117159E-5</v>
      </c>
      <c r="E5" s="58">
        <f>A2.6.3!E5/A2.6.3!E$29</f>
        <v>2.1573152137834592E-5</v>
      </c>
      <c r="F5" s="62">
        <f>A2.6.3!F5/A2.6.3!F$29</f>
        <v>1.4147606696533836E-4</v>
      </c>
      <c r="G5" s="58">
        <f>A2.6.3!G5/A2.6.3!G$29</f>
        <v>1.0632482296707958E-4</v>
      </c>
      <c r="H5" s="62">
        <f>A2.6.3!H5/A2.6.3!H$29</f>
        <v>1.5248706401406947E-4</v>
      </c>
      <c r="I5" s="58">
        <f>A2.6.3!I5/A2.6.3!I$29</f>
        <v>1.2324155525090681E-4</v>
      </c>
      <c r="J5" s="62">
        <f>A2.6.3!J5/A2.6.3!J$29</f>
        <v>3.6936447582835416E-4</v>
      </c>
      <c r="K5" s="59">
        <f>A2.6.3!K5/A2.6.3!K$29</f>
        <v>2.5334298197341105E-4</v>
      </c>
    </row>
    <row r="6" spans="1:11" ht="13.35" customHeight="1">
      <c r="A6" s="49"/>
      <c r="B6" s="16" t="s">
        <v>21</v>
      </c>
      <c r="C6" s="16" t="s">
        <v>45</v>
      </c>
      <c r="D6" s="62">
        <f>A2.6.3!D6/A2.6.3!D$29</f>
        <v>2.2985082960329793E-3</v>
      </c>
      <c r="E6" s="58">
        <f>A2.6.3!E6/A2.6.3!E$29</f>
        <v>6.3265554409204863E-4</v>
      </c>
      <c r="F6" s="62">
        <f>A2.6.3!F6/A2.6.3!F$29</f>
        <v>2.5371374675784014E-3</v>
      </c>
      <c r="G6" s="58">
        <f>A2.6.3!G6/A2.6.3!G$29</f>
        <v>5.8747272503338231E-4</v>
      </c>
      <c r="H6" s="62">
        <f>A2.6.3!H6/A2.6.3!H$29</f>
        <v>3.1005703016194126E-3</v>
      </c>
      <c r="I6" s="58">
        <f>A2.6.3!I6/A2.6.3!I$29</f>
        <v>7.9355174089013394E-4</v>
      </c>
      <c r="J6" s="62">
        <f>A2.6.3!J6/A2.6.3!J$29</f>
        <v>2.2487778381314505E-3</v>
      </c>
      <c r="K6" s="59">
        <f>A2.6.3!K6/A2.6.3!K$29</f>
        <v>5.6851686091760113E-4</v>
      </c>
    </row>
    <row r="7" spans="1:11" ht="13.35" customHeight="1">
      <c r="A7" s="49"/>
      <c r="B7" s="16" t="s">
        <v>22</v>
      </c>
      <c r="C7" s="16" t="s">
        <v>46</v>
      </c>
      <c r="D7" s="62">
        <f>A2.6.3!D7/A2.6.3!D$29</f>
        <v>2.1216999655689042E-3</v>
      </c>
      <c r="E7" s="58">
        <f>A2.6.3!E7/A2.6.3!E$29</f>
        <v>6.5448326389461826E-4</v>
      </c>
      <c r="F7" s="62">
        <f>A2.6.3!F7/A2.6.3!F$29</f>
        <v>2.395661400613063E-3</v>
      </c>
      <c r="G7" s="58">
        <f>A2.6.3!G7/A2.6.3!G$29</f>
        <v>6.901352633833681E-4</v>
      </c>
      <c r="H7" s="62">
        <f>A2.6.3!H7/A2.6.3!H$29</f>
        <v>2.5617826754363673E-3</v>
      </c>
      <c r="I7" s="58">
        <f>A2.6.3!I7/A2.6.3!I$29</f>
        <v>6.2204047765870569E-4</v>
      </c>
      <c r="J7" s="62">
        <f>A2.6.3!J7/A2.6.3!J$29</f>
        <v>1.78164041281912E-3</v>
      </c>
      <c r="K7" s="59">
        <f>A2.6.3!K7/A2.6.3!K$29</f>
        <v>4.3539402802323063E-4</v>
      </c>
    </row>
    <row r="8" spans="1:11" ht="13.35" customHeight="1">
      <c r="A8" s="49"/>
      <c r="B8" s="16" t="s">
        <v>23</v>
      </c>
      <c r="C8" s="16" t="s">
        <v>47</v>
      </c>
      <c r="D8" s="62">
        <f>A2.6.3!D8/A2.6.3!D$29</f>
        <v>3.0708815291128873E-3</v>
      </c>
      <c r="E8" s="58">
        <f>A2.6.3!E8/A2.6.3!E$29</f>
        <v>1.1969358652111825E-3</v>
      </c>
      <c r="F8" s="62">
        <f>A2.6.3!F8/A2.6.3!F$29</f>
        <v>2.8672482904975242E-3</v>
      </c>
      <c r="G8" s="58">
        <f>A2.6.3!G8/A2.6.3!G$29</f>
        <v>1.0509231387315224E-3</v>
      </c>
      <c r="H8" s="62">
        <f>A2.6.3!H8/A2.6.3!H$29</f>
        <v>2.9684148461405525E-3</v>
      </c>
      <c r="I8" s="58">
        <f>A2.6.3!I8/A2.6.3!I$29</f>
        <v>7.5525251740280993E-4</v>
      </c>
      <c r="J8" s="62">
        <f>A2.6.3!J8/A2.6.3!J$29</f>
        <v>2.2379141770776751E-3</v>
      </c>
      <c r="K8" s="59">
        <f>A2.6.3!K8/A2.6.3!K$29</f>
        <v>6.8913086950855797E-4</v>
      </c>
    </row>
    <row r="9" spans="1:11" ht="13.35" customHeight="1">
      <c r="A9" s="49"/>
      <c r="B9" s="16" t="s">
        <v>24</v>
      </c>
      <c r="C9" s="16" t="s">
        <v>48</v>
      </c>
      <c r="D9" s="62">
        <f>A2.6.3!D9/A2.6.3!D$29</f>
        <v>4.6528508016861932E-3</v>
      </c>
      <c r="E9" s="58">
        <f>A2.6.3!E9/A2.6.3!E$29</f>
        <v>1.892983615983803E-3</v>
      </c>
      <c r="F9" s="62">
        <f>A2.6.3!F9/A2.6.3!F$29</f>
        <v>4.4989389294977601E-3</v>
      </c>
      <c r="G9" s="58">
        <f>A2.6.3!G9/A2.6.3!G$29</f>
        <v>1.7808476986045181E-3</v>
      </c>
      <c r="H9" s="62">
        <f>A2.6.3!H9/A2.6.3!H$29</f>
        <v>4.1883113582531079E-3</v>
      </c>
      <c r="I9" s="58">
        <f>A2.6.3!I9/A2.6.3!I$29</f>
        <v>1.3583782285427654E-3</v>
      </c>
      <c r="J9" s="62">
        <f>A2.6.3!J9/A2.6.3!J$29</f>
        <v>3.0200977729494842E-3</v>
      </c>
      <c r="K9" s="59">
        <f>A2.6.3!K9/A2.6.3!K$29</f>
        <v>9.5226170491690852E-4</v>
      </c>
    </row>
    <row r="10" spans="1:11" s="51" customFormat="1" ht="13.35" customHeight="1">
      <c r="A10" s="49"/>
      <c r="B10" s="16" t="s">
        <v>25</v>
      </c>
      <c r="C10" s="16" t="s">
        <v>49</v>
      </c>
      <c r="D10" s="62">
        <f>A2.6.3!D10/A2.6.3!D$29</f>
        <v>5.6392551716436664E-3</v>
      </c>
      <c r="E10" s="58">
        <f>A2.6.3!E10/A2.6.3!E$29</f>
        <v>2.1540315823980693E-3</v>
      </c>
      <c r="F10" s="62">
        <f>A2.6.3!F10/A2.6.3!F$29</f>
        <v>5.0554114595614246E-3</v>
      </c>
      <c r="G10" s="58">
        <f>A2.6.3!G10/A2.6.3!G$29</f>
        <v>2.089710990768435E-3</v>
      </c>
      <c r="H10" s="62">
        <f>A2.6.3!H10/A2.6.3!H$29</f>
        <v>5.6725187813233841E-3</v>
      </c>
      <c r="I10" s="58">
        <f>A2.6.3!I10/A2.6.3!I$29</f>
        <v>2.1471583414540106E-3</v>
      </c>
      <c r="J10" s="62">
        <f>A2.6.3!J10/A2.6.3!J$29</f>
        <v>4.5301466594242258E-3</v>
      </c>
      <c r="K10" s="59">
        <f>A2.6.3!K10/A2.6.3!K$29</f>
        <v>1.8956650552348097E-3</v>
      </c>
    </row>
    <row r="11" spans="1:11" s="1" customFormat="1" ht="13.35" customHeight="1">
      <c r="A11" s="26"/>
      <c r="B11" s="16" t="s">
        <v>26</v>
      </c>
      <c r="C11" s="16" t="s">
        <v>50</v>
      </c>
      <c r="D11" s="62">
        <f>A2.6.3!D11/A2.6.3!D$29</f>
        <v>6.8117735736685867E-3</v>
      </c>
      <c r="E11" s="58">
        <f>A2.6.3!E11/A2.6.3!E$29</f>
        <v>2.9836853340592718E-3</v>
      </c>
      <c r="F11" s="62">
        <f>A2.6.3!F11/A2.6.3!F$29</f>
        <v>5.8476774345673187E-3</v>
      </c>
      <c r="G11" s="58">
        <f>A2.6.3!G11/A2.6.3!G$29</f>
        <v>2.5645873856690905E-3</v>
      </c>
      <c r="H11" s="62">
        <f>A2.6.3!H11/A2.6.3!H$29</f>
        <v>6.0384877349571511E-3</v>
      </c>
      <c r="I11" s="58">
        <f>A2.6.3!I11/A2.6.3!I$29</f>
        <v>2.2687320211732462E-3</v>
      </c>
      <c r="J11" s="62">
        <f>A2.6.3!J11/A2.6.3!J$29</f>
        <v>4.8234655078761542E-3</v>
      </c>
      <c r="K11" s="59">
        <f>A2.6.3!K11/A2.6.3!K$29</f>
        <v>1.8030996592676423E-3</v>
      </c>
    </row>
    <row r="12" spans="1:11" s="1" customFormat="1" ht="13.35" customHeight="1">
      <c r="A12" s="26"/>
      <c r="B12" s="16" t="s">
        <v>27</v>
      </c>
      <c r="C12" s="16" t="s">
        <v>51</v>
      </c>
      <c r="D12" s="62">
        <f>A2.6.3!D12/A2.6.3!D$29</f>
        <v>7.6772038227822187E-3</v>
      </c>
      <c r="E12" s="58">
        <f>A2.6.3!E12/A2.6.3!E$29</f>
        <v>3.3474688425756838E-3</v>
      </c>
      <c r="F12" s="62">
        <f>A2.6.3!F12/A2.6.3!F$29</f>
        <v>7.3567554821975948E-3</v>
      </c>
      <c r="G12" s="58">
        <f>A2.6.3!G12/A2.6.3!G$29</f>
        <v>3.1119001101201815E-3</v>
      </c>
      <c r="H12" s="62">
        <f>A2.6.3!H12/A2.6.3!H$29</f>
        <v>7.0144049446471957E-3</v>
      </c>
      <c r="I12" s="58">
        <f>A2.6.3!I12/A2.6.3!I$29</f>
        <v>2.8471282929125965E-3</v>
      </c>
      <c r="J12" s="62">
        <f>A2.6.3!J12/A2.6.3!J$29</f>
        <v>5.399239543726236E-3</v>
      </c>
      <c r="K12" s="59">
        <f>A2.6.3!K12/A2.6.3!K$29</f>
        <v>2.0332527506864749E-3</v>
      </c>
    </row>
    <row r="13" spans="1:11" s="1" customFormat="1" ht="13.35" customHeight="1">
      <c r="A13" s="26"/>
      <c r="B13" s="27" t="s">
        <v>28</v>
      </c>
      <c r="C13" s="27" t="s">
        <v>52</v>
      </c>
      <c r="D13" s="62">
        <f>A2.6.3!D13/A2.6.3!D$29</f>
        <v>1.0040852030038804E-2</v>
      </c>
      <c r="E13" s="58">
        <f>A2.6.3!E13/A2.6.3!E$29</f>
        <v>4.507395718985621E-3</v>
      </c>
      <c r="F13" s="62">
        <f>A2.6.3!F13/A2.6.3!F$29</f>
        <v>9.0261730723885884E-3</v>
      </c>
      <c r="G13" s="58">
        <f>A2.6.3!G13/A2.6.3!G$29</f>
        <v>3.8818923460416446E-3</v>
      </c>
      <c r="H13" s="62">
        <f>A2.6.3!H13/A2.6.3!H$29</f>
        <v>9.0373999939005172E-3</v>
      </c>
      <c r="I13" s="58">
        <f>A2.6.3!I13/A2.6.3!I$29</f>
        <v>3.857134505429894E-3</v>
      </c>
      <c r="J13" s="62">
        <f>A2.6.3!J13/A2.6.3!J$29</f>
        <v>6.7354698533405762E-3</v>
      </c>
      <c r="K13" s="59">
        <f>A2.6.3!K13/A2.6.3!K$29</f>
        <v>3.0181886946731022E-3</v>
      </c>
    </row>
    <row r="14" spans="1:11" s="1" customFormat="1" ht="13.35" customHeight="1">
      <c r="A14" s="26"/>
      <c r="B14" s="27" t="s">
        <v>29</v>
      </c>
      <c r="C14" s="27" t="s">
        <v>53</v>
      </c>
      <c r="D14" s="62">
        <f>A2.6.3!D14/A2.6.3!D$29</f>
        <v>1.2962842333497733E-2</v>
      </c>
      <c r="E14" s="58">
        <f>A2.6.3!E14/A2.6.3!E$29</f>
        <v>5.9263920755223548E-3</v>
      </c>
      <c r="F14" s="62">
        <f>A2.6.3!F14/A2.6.3!F$29</f>
        <v>1.1742513558123084E-2</v>
      </c>
      <c r="G14" s="58">
        <f>A2.6.3!G14/A2.6.3!G$29</f>
        <v>5.4682138921626332E-3</v>
      </c>
      <c r="H14" s="62">
        <f>A2.6.3!H14/A2.6.3!H$29</f>
        <v>9.9319907694497243E-3</v>
      </c>
      <c r="I14" s="58">
        <f>A2.6.3!I14/A2.6.3!I$29</f>
        <v>4.5493310799439015E-3</v>
      </c>
      <c r="J14" s="62">
        <f>A2.6.3!J14/A2.6.3!J$29</f>
        <v>7.8978815860945139E-3</v>
      </c>
      <c r="K14" s="59">
        <f>A2.6.3!K14/A2.6.3!K$29</f>
        <v>3.6670942284414421E-3</v>
      </c>
    </row>
    <row r="15" spans="1:11" customFormat="1" ht="13.35" customHeight="1">
      <c r="A15" s="26"/>
      <c r="B15" s="27" t="s">
        <v>30</v>
      </c>
      <c r="C15" s="27" t="s">
        <v>54</v>
      </c>
      <c r="D15" s="62">
        <f>A2.6.3!D15/A2.6.3!D$29</f>
        <v>1.5726635709699333E-2</v>
      </c>
      <c r="E15" s="58">
        <f>A2.6.3!E15/A2.6.3!E$29</f>
        <v>7.4419635824194931E-3</v>
      </c>
      <c r="F15" s="62">
        <f>A2.6.3!F15/A2.6.3!F$29</f>
        <v>1.494930440933742E-2</v>
      </c>
      <c r="G15" s="58">
        <f>A2.6.3!G15/A2.6.3!G$29</f>
        <v>7.0317247172947146E-3</v>
      </c>
      <c r="H15" s="62">
        <f>A2.6.3!H15/A2.6.3!H$29</f>
        <v>1.2310788968069209E-2</v>
      </c>
      <c r="I15" s="58">
        <f>A2.6.3!I15/A2.6.3!I$29</f>
        <v>5.7524097195135147E-3</v>
      </c>
      <c r="J15" s="62">
        <f>A2.6.3!J15/A2.6.3!J$29</f>
        <v>9.136338946224877E-3</v>
      </c>
      <c r="K15" s="59">
        <f>A2.6.3!K15/A2.6.3!K$29</f>
        <v>4.1986707197737344E-3</v>
      </c>
    </row>
    <row r="16" spans="1:11" customFormat="1" ht="13.35" customHeight="1">
      <c r="A16" s="26"/>
      <c r="B16" s="27" t="s">
        <v>31</v>
      </c>
      <c r="C16" s="27" t="s">
        <v>55</v>
      </c>
      <c r="D16" s="62">
        <f>A2.6.3!D16/A2.6.3!D$29</f>
        <v>1.9365165036617935E-2</v>
      </c>
      <c r="E16" s="58">
        <f>A2.6.3!E16/A2.6.3!E$29</f>
        <v>9.9337930959767576E-3</v>
      </c>
      <c r="F16" s="62">
        <f>A2.6.3!F16/A2.6.3!F$29</f>
        <v>1.7203489742985145E-2</v>
      </c>
      <c r="G16" s="58">
        <f>A2.6.3!G16/A2.6.3!G$29</f>
        <v>8.443352779889687E-3</v>
      </c>
      <c r="H16" s="62">
        <f>A2.6.3!H16/A2.6.3!H$29</f>
        <v>1.4974229686181622E-2</v>
      </c>
      <c r="I16" s="58">
        <f>A2.6.3!I16/A2.6.3!I$29</f>
        <v>7.2587866971434642E-3</v>
      </c>
      <c r="J16" s="62">
        <f>A2.6.3!J16/A2.6.3!J$29</f>
        <v>1.1200434546442151E-2</v>
      </c>
      <c r="K16" s="59">
        <f>A2.6.3!K16/A2.6.3!K$29</f>
        <v>5.2433339328072145E-3</v>
      </c>
    </row>
    <row r="17" spans="1:11" customFormat="1" ht="13.35" customHeight="1">
      <c r="A17" s="26"/>
      <c r="B17" s="27" t="s">
        <v>32</v>
      </c>
      <c r="C17" s="27" t="s">
        <v>56</v>
      </c>
      <c r="D17" s="62">
        <f>A2.6.3!D17/A2.6.3!D$29</f>
        <v>2.2305766743283609E-2</v>
      </c>
      <c r="E17" s="58">
        <f>A2.6.3!E17/A2.6.3!E$29</f>
        <v>1.1905359175238659E-2</v>
      </c>
      <c r="F17" s="62">
        <f>A2.6.3!F17/A2.6.3!F$29</f>
        <v>1.9750058948361234E-2</v>
      </c>
      <c r="G17" s="58">
        <f>A2.6.3!G17/A2.6.3!G$29</f>
        <v>1.0482598336895514E-2</v>
      </c>
      <c r="H17" s="62">
        <f>A2.6.3!H17/A2.6.3!H$29</f>
        <v>1.7200540820787036E-2</v>
      </c>
      <c r="I17" s="58">
        <f>A2.6.3!I17/A2.6.3!I$29</f>
        <v>8.8167653383388941E-3</v>
      </c>
      <c r="J17" s="62">
        <f>A2.6.3!J17/A2.6.3!J$29</f>
        <v>1.2667028788701792E-2</v>
      </c>
      <c r="K17" s="59">
        <f>A2.6.3!K17/A2.6.3!K$29</f>
        <v>6.4455274935403322E-3</v>
      </c>
    </row>
    <row r="18" spans="1:11" customFormat="1" ht="13.35" customHeight="1">
      <c r="A18" s="26"/>
      <c r="B18" s="27" t="s">
        <v>33</v>
      </c>
      <c r="C18" s="27" t="s">
        <v>57</v>
      </c>
      <c r="D18" s="62">
        <f>A2.6.3!D18/A2.6.3!D$29</f>
        <v>2.4362326797628907E-2</v>
      </c>
      <c r="E18" s="58">
        <f>A2.6.3!E18/A2.6.3!E$29</f>
        <v>1.4021161884472602E-2</v>
      </c>
      <c r="F18" s="62">
        <f>A2.6.3!F18/A2.6.3!F$29</f>
        <v>2.1306295684979958E-2</v>
      </c>
      <c r="G18" s="58">
        <f>A2.6.3!G18/A2.6.3!G$29</f>
        <v>1.2009768444635145E-2</v>
      </c>
      <c r="H18" s="62">
        <f>A2.6.3!H18/A2.6.3!H$29</f>
        <v>1.9894478951702262E-2</v>
      </c>
      <c r="I18" s="58">
        <f>A2.6.3!I18/A2.6.3!I$29</f>
        <v>1.0945907492781192E-2</v>
      </c>
      <c r="J18" s="62">
        <f>A2.6.3!J18/A2.6.3!J$29</f>
        <v>1.5784899511135254E-2</v>
      </c>
      <c r="K18" s="59">
        <f>A2.6.3!K18/A2.6.3!K$29</f>
        <v>8.2325325007822827E-3</v>
      </c>
    </row>
    <row r="19" spans="1:11" customFormat="1" ht="13.35" customHeight="1">
      <c r="A19" s="26"/>
      <c r="B19" s="27" t="s">
        <v>34</v>
      </c>
      <c r="C19" s="27" t="s">
        <v>58</v>
      </c>
      <c r="D19" s="62">
        <f>A2.6.3!D19/A2.6.3!D$29</f>
        <v>2.6428192553577576E-2</v>
      </c>
      <c r="E19" s="58">
        <f>A2.6.3!E19/A2.6.3!E$29</f>
        <v>1.6315472881359698E-2</v>
      </c>
      <c r="F19" s="62">
        <f>A2.6.3!F19/A2.6.3!F$29</f>
        <v>2.4371610469228956E-2</v>
      </c>
      <c r="G19" s="58">
        <f>A2.6.3!G19/A2.6.3!G$29</f>
        <v>1.4623997841701722E-2</v>
      </c>
      <c r="H19" s="62">
        <f>A2.6.3!H19/A2.6.3!H$29</f>
        <v>2.1287194136364099E-2</v>
      </c>
      <c r="I19" s="58">
        <f>A2.6.3!I19/A2.6.3!I$29</f>
        <v>1.2565749347783751E-2</v>
      </c>
      <c r="J19" s="62">
        <f>A2.6.3!J19/A2.6.3!J$29</f>
        <v>1.775122216186855E-2</v>
      </c>
      <c r="K19" s="59">
        <f>A2.6.3!K19/A2.6.3!K$29</f>
        <v>9.8737443660235139E-3</v>
      </c>
    </row>
    <row r="20" spans="1:11" customFormat="1" ht="13.35" customHeight="1">
      <c r="A20" s="26"/>
      <c r="B20" s="27" t="s">
        <v>35</v>
      </c>
      <c r="C20" s="27" t="s">
        <v>59</v>
      </c>
      <c r="D20" s="62">
        <f>A2.6.3!D20/A2.6.3!D$29</f>
        <v>0.14668577437395894</v>
      </c>
      <c r="E20" s="58">
        <f>A2.6.3!E20/A2.6.3!E$29</f>
        <v>0.10270524272024836</v>
      </c>
      <c r="F20" s="62">
        <f>A2.6.3!F20/A2.6.3!F$29</f>
        <v>0.1340155623673662</v>
      </c>
      <c r="G20" s="58">
        <f>A2.6.3!G20/A2.6.3!G$29</f>
        <v>8.992307943737933E-2</v>
      </c>
      <c r="H20" s="62">
        <f>A2.6.3!H20/A2.6.3!H$29</f>
        <v>0.1235755166770019</v>
      </c>
      <c r="I20" s="58">
        <f>A2.6.3!I20/A2.6.3!I$29</f>
        <v>8.0931673004193197E-2</v>
      </c>
      <c r="J20" s="62">
        <f>A2.6.3!J20/A2.6.3!J$29</f>
        <v>0.10915806626833242</v>
      </c>
      <c r="K20" s="59">
        <f>A2.6.3!K20/A2.6.3!K$29</f>
        <v>6.8893180104018001E-2</v>
      </c>
    </row>
    <row r="21" spans="1:11" customFormat="1" ht="13.35" customHeight="1">
      <c r="A21" s="26"/>
      <c r="B21" s="27" t="s">
        <v>36</v>
      </c>
      <c r="C21" s="27" t="s">
        <v>60</v>
      </c>
      <c r="D21" s="62">
        <f>A2.6.3!D21/A2.6.3!D$29</f>
        <v>0.2541573221913066</v>
      </c>
      <c r="E21" s="58">
        <f>A2.6.3!E21/A2.6.3!E$29</f>
        <v>0.21504074157504</v>
      </c>
      <c r="F21" s="62">
        <f>A2.6.3!F21/A2.6.3!F$29</f>
        <v>0.24504597972176373</v>
      </c>
      <c r="G21" s="58">
        <f>A2.6.3!G21/A2.6.3!G$29</f>
        <v>0.19938238593912685</v>
      </c>
      <c r="H21" s="62">
        <f>A2.6.3!H21/A2.6.3!H$29</f>
        <v>0.24446726102735619</v>
      </c>
      <c r="I21" s="58">
        <f>A2.6.3!I21/A2.6.3!I$29</f>
        <v>0.19479447260032973</v>
      </c>
      <c r="J21" s="62">
        <f>A2.6.3!J21/A2.6.3!J$29</f>
        <v>0.24068441064638782</v>
      </c>
      <c r="K21" s="59">
        <f>A2.6.3!K21/A2.6.3!K$29</f>
        <v>0.18534793708845054</v>
      </c>
    </row>
    <row r="22" spans="1:11" customFormat="1" ht="13.35" customHeight="1">
      <c r="A22" s="26"/>
      <c r="B22" s="27" t="s">
        <v>37</v>
      </c>
      <c r="C22" s="27" t="s">
        <v>61</v>
      </c>
      <c r="D22" s="62">
        <f>A2.6.3!D22/A2.6.3!D$29</f>
        <v>0.15201794139269131</v>
      </c>
      <c r="E22" s="58">
        <f>A2.6.3!E22/A2.6.3!E$29</f>
        <v>0.16021639538915289</v>
      </c>
      <c r="F22" s="62">
        <f>A2.6.3!F22/A2.6.3!F$29</f>
        <v>0.15900023579344494</v>
      </c>
      <c r="G22" s="58">
        <f>A2.6.3!G22/A2.6.3!G$29</f>
        <v>0.16074889091539263</v>
      </c>
      <c r="H22" s="62">
        <f>A2.6.3!H22/A2.6.3!H$29</f>
        <v>0.16648537649056105</v>
      </c>
      <c r="I22" s="58">
        <f>A2.6.3!I22/A2.6.3!I$29</f>
        <v>0.16387647201233091</v>
      </c>
      <c r="J22" s="62">
        <f>A2.6.3!J22/A2.6.3!J$29</f>
        <v>0.17603476371537208</v>
      </c>
      <c r="K22" s="59">
        <f>A2.6.3!K22/A2.6.3!K$29</f>
        <v>0.16573124263611275</v>
      </c>
    </row>
    <row r="23" spans="1:11" customFormat="1" ht="13.35" customHeight="1">
      <c r="A23" s="26"/>
      <c r="B23" s="27" t="s">
        <v>38</v>
      </c>
      <c r="C23" s="27" t="s">
        <v>62</v>
      </c>
      <c r="D23" s="62">
        <f>A2.6.3!D23/A2.6.3!D$29</f>
        <v>8.770623761178474E-2</v>
      </c>
      <c r="E23" s="58">
        <f>A2.6.3!E23/A2.6.3!E$29</f>
        <v>0.10558820233363489</v>
      </c>
      <c r="F23" s="62">
        <f>A2.6.3!F23/A2.6.3!F$29</f>
        <v>9.2789436453666593E-2</v>
      </c>
      <c r="G23" s="58">
        <f>A2.6.3!G23/A2.6.3!G$29</f>
        <v>0.10781471552116728</v>
      </c>
      <c r="H23" s="62">
        <f>A2.6.3!H23/A2.6.3!H$29</f>
        <v>0.10046864357673657</v>
      </c>
      <c r="I23" s="58">
        <f>A2.6.3!I23/A2.6.3!I$29</f>
        <v>0.11332180728942105</v>
      </c>
      <c r="J23" s="62">
        <f>A2.6.3!J23/A2.6.3!J$29</f>
        <v>0.10999456816947312</v>
      </c>
      <c r="K23" s="59">
        <f>A2.6.3!K23/A2.6.3!K$29</f>
        <v>0.11924677083309242</v>
      </c>
    </row>
    <row r="24" spans="1:11" customFormat="1" ht="13.35" customHeight="1">
      <c r="A24" s="26"/>
      <c r="B24" s="27" t="s">
        <v>39</v>
      </c>
      <c r="C24" s="27" t="s">
        <v>63</v>
      </c>
      <c r="D24" s="62">
        <f>A2.6.3!D24/A2.6.3!D$29</f>
        <v>9.8082094899544947E-2</v>
      </c>
      <c r="E24" s="58">
        <f>A2.6.3!E24/A2.6.3!E$29</f>
        <v>0.13789835907456541</v>
      </c>
      <c r="F24" s="62">
        <f>A2.6.3!F24/A2.6.3!F$29</f>
        <v>0.10828578165526999</v>
      </c>
      <c r="G24" s="58">
        <f>A2.6.3!G24/A2.6.3!G$29</f>
        <v>0.1482866999180005</v>
      </c>
      <c r="H24" s="62">
        <f>A2.6.3!H24/A2.6.3!H$29</f>
        <v>0.11244396100397483</v>
      </c>
      <c r="I24" s="58">
        <f>A2.6.3!I24/A2.6.3!I$29</f>
        <v>0.15021580519574551</v>
      </c>
      <c r="J24" s="62">
        <f>A2.6.3!J24/A2.6.3!J$29</f>
        <v>0.12600760456273763</v>
      </c>
      <c r="K24" s="59">
        <f>A2.6.3!K24/A2.6.3!K$29</f>
        <v>0.16135101950267919</v>
      </c>
    </row>
    <row r="25" spans="1:11" customFormat="1" ht="13.35" customHeight="1">
      <c r="A25" s="26"/>
      <c r="B25" s="27" t="s">
        <v>40</v>
      </c>
      <c r="C25" s="27" t="s">
        <v>64</v>
      </c>
      <c r="D25" s="62">
        <f>A2.6.3!D25/A2.6.3!D$29</f>
        <v>3.8860609895683088E-2</v>
      </c>
      <c r="E25" s="58">
        <f>A2.6.3!E25/A2.6.3!E$29</f>
        <v>6.7211399850949177E-2</v>
      </c>
      <c r="F25" s="62">
        <f>A2.6.3!F25/A2.6.3!F$29</f>
        <v>4.3357698655977363E-2</v>
      </c>
      <c r="G25" s="58">
        <f>A2.6.3!G25/A2.6.3!G$29</f>
        <v>7.1568789180415898E-2</v>
      </c>
      <c r="H25" s="62">
        <f>A2.6.3!H25/A2.6.3!H$29</f>
        <v>4.5776616617023654E-2</v>
      </c>
      <c r="I25" s="58">
        <f>A2.6.3!I25/A2.6.3!I$29</f>
        <v>7.6077777082496231E-2</v>
      </c>
      <c r="J25" s="62">
        <f>A2.6.3!J25/A2.6.3!J$29</f>
        <v>5.0624660510592071E-2</v>
      </c>
      <c r="K25" s="59">
        <f>A2.6.3!K25/A2.6.3!K$29</f>
        <v>7.9456905778117898E-2</v>
      </c>
    </row>
    <row r="26" spans="1:11" customFormat="1" ht="13.35" customHeight="1">
      <c r="A26" s="26"/>
      <c r="B26" s="27" t="s">
        <v>41</v>
      </c>
      <c r="C26" s="27" t="s">
        <v>65</v>
      </c>
      <c r="D26" s="62">
        <f>A2.6.3!D26/A2.6.3!D$29</f>
        <v>4.0833418635598029E-2</v>
      </c>
      <c r="E26" s="58">
        <f>A2.6.3!E26/A2.6.3!E$29</f>
        <v>8.2312006850299255E-2</v>
      </c>
      <c r="F26" s="62">
        <f>A2.6.3!F26/A2.6.3!F$29</f>
        <v>4.8139589719405802E-2</v>
      </c>
      <c r="G26" s="58">
        <f>A2.6.3!G26/A2.6.3!G$29</f>
        <v>9.7072767727058654E-2</v>
      </c>
      <c r="H26" s="62">
        <f>A2.6.3!H26/A2.6.3!H$29</f>
        <v>4.9161829438135997E-2</v>
      </c>
      <c r="I26" s="58">
        <f>A2.6.3!I26/A2.6.3!I$29</f>
        <v>0.10079365262944991</v>
      </c>
      <c r="J26" s="62">
        <f>A2.6.3!J26/A2.6.3!J$29</f>
        <v>5.8153177620858226E-2</v>
      </c>
      <c r="K26" s="59">
        <f>A2.6.3!K26/A2.6.3!K$29</f>
        <v>0.11154035894422903</v>
      </c>
    </row>
    <row r="27" spans="1:11" customFormat="1" ht="13.35" customHeight="1">
      <c r="A27" s="26"/>
      <c r="B27" s="27" t="s">
        <v>42</v>
      </c>
      <c r="C27" s="27" t="s">
        <v>66</v>
      </c>
      <c r="D27" s="62">
        <f>A2.6.3!D27/A2.6.3!D$29</f>
        <v>1.3474655921683216E-2</v>
      </c>
      <c r="E27" s="58">
        <f>A2.6.3!E27/A2.6.3!E$29</f>
        <v>3.4939353686949275E-2</v>
      </c>
      <c r="F27" s="62">
        <f>A2.6.3!F27/A2.6.3!F$29</f>
        <v>1.5458618250412639E-2</v>
      </c>
      <c r="G27" s="58">
        <f>A2.6.3!G27/A2.6.3!G$29</f>
        <v>3.934218376919657E-2</v>
      </c>
      <c r="H27" s="62">
        <f>A2.6.3!H27/A2.6.3!H$29</f>
        <v>1.6387276479378664E-2</v>
      </c>
      <c r="I27" s="58">
        <f>A2.6.3!I27/A2.6.3!I$29</f>
        <v>4.295986693396283E-2</v>
      </c>
      <c r="J27" s="62">
        <f>A2.6.3!J27/A2.6.3!J$29</f>
        <v>1.8804997284084735E-2</v>
      </c>
      <c r="K27" s="59">
        <f>A2.6.3!K27/A2.6.3!K$29</f>
        <v>4.679757065030777E-2</v>
      </c>
    </row>
    <row r="28" spans="1:11" customFormat="1" ht="13.35" customHeight="1">
      <c r="A28" s="26"/>
      <c r="B28" s="27" t="s">
        <v>43</v>
      </c>
      <c r="C28" s="27" t="s">
        <v>67</v>
      </c>
      <c r="D28" s="62">
        <f>A2.6.3!D28/A2.6.3!D$29</f>
        <v>2.8754617954420674E-3</v>
      </c>
      <c r="E28" s="58">
        <f>A2.6.3!E28/A2.6.3!E$29</f>
        <v>9.0437334495340783E-3</v>
      </c>
      <c r="F28" s="62">
        <f>A2.6.3!F28/A2.6.3!F$29</f>
        <v>2.9992926196651731E-3</v>
      </c>
      <c r="G28" s="58">
        <f>A2.6.3!G28/A2.6.3!G$29</f>
        <v>9.8026065872689281E-3</v>
      </c>
      <c r="H28" s="62">
        <f>A2.6.3!H28/A2.6.3!H$29</f>
        <v>3.0294096717461802E-3</v>
      </c>
      <c r="I28" s="58">
        <f>A2.6.3!I28/A2.6.3!I$29</f>
        <v>1.0320064657435504E-2</v>
      </c>
      <c r="J28" s="62">
        <f>A2.6.3!J28/A2.6.3!J$29</f>
        <v>3.1395980445410102E-3</v>
      </c>
      <c r="K28" s="59">
        <f>A2.6.3!K28/A2.6.3!K$29</f>
        <v>1.0705551384409501E-2</v>
      </c>
    </row>
    <row r="29" spans="1:11" customFormat="1" ht="13.35" customHeight="1">
      <c r="A29" s="88"/>
      <c r="B29" s="75" t="s">
        <v>9</v>
      </c>
      <c r="C29" s="89"/>
      <c r="D29" s="63">
        <f>A2.6.3!D29/A2.6.3!D$29</f>
        <v>1</v>
      </c>
      <c r="E29" s="60">
        <f>A2.6.3!E29/A2.6.3!E$29</f>
        <v>1</v>
      </c>
      <c r="F29" s="63">
        <f>A2.6.3!F29/A2.6.3!F$29</f>
        <v>1</v>
      </c>
      <c r="G29" s="60">
        <f>A2.6.3!G29/A2.6.3!G$29</f>
        <v>1</v>
      </c>
      <c r="H29" s="63">
        <f>A2.6.3!H29/A2.6.3!H$29</f>
        <v>1</v>
      </c>
      <c r="I29" s="60">
        <f>A2.6.3!I29/A2.6.3!I$29</f>
        <v>1</v>
      </c>
      <c r="J29" s="63">
        <f>A2.6.3!J29/A2.6.3!J$29</f>
        <v>1</v>
      </c>
      <c r="K29" s="61">
        <f>A2.6.3!K29/A2.6.3!K$29</f>
        <v>1</v>
      </c>
    </row>
    <row r="30" spans="1:11" s="1" customFormat="1" ht="13.35" customHeight="1"/>
    <row r="31" spans="1:11">
      <c r="F31" s="560" t="s">
        <v>506</v>
      </c>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sheetPr codeName="Sheet38" enableFormatConditionsCalculation="0">
    <pageSetUpPr fitToPage="1"/>
  </sheetPr>
  <dimension ref="A1:K34"/>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439</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22.5">
      <c r="A3" s="80"/>
      <c r="B3" s="703" t="s">
        <v>95</v>
      </c>
      <c r="C3" s="702"/>
      <c r="D3" s="32" t="s">
        <v>18</v>
      </c>
      <c r="E3" s="33" t="s">
        <v>111</v>
      </c>
      <c r="F3" s="32" t="s">
        <v>18</v>
      </c>
      <c r="G3" s="33" t="s">
        <v>111</v>
      </c>
      <c r="H3" s="32" t="s">
        <v>18</v>
      </c>
      <c r="I3" s="33" t="s">
        <v>111</v>
      </c>
      <c r="J3" s="32" t="s">
        <v>18</v>
      </c>
      <c r="K3" s="86" t="s">
        <v>111</v>
      </c>
    </row>
    <row r="4" spans="1:11" ht="13.35" customHeight="1">
      <c r="A4" s="49"/>
      <c r="B4" s="16" t="s">
        <v>19</v>
      </c>
      <c r="C4" s="16" t="s">
        <v>44</v>
      </c>
      <c r="D4" s="19">
        <v>1149</v>
      </c>
      <c r="E4" s="15">
        <v>10.376763</v>
      </c>
      <c r="F4" s="19">
        <v>1225</v>
      </c>
      <c r="G4" s="15">
        <v>12.144553</v>
      </c>
      <c r="H4" s="19">
        <v>1329</v>
      </c>
      <c r="I4" s="15">
        <v>13.985333000000001</v>
      </c>
      <c r="J4" s="19">
        <v>1831</v>
      </c>
      <c r="K4" s="24">
        <v>31.602063000000001</v>
      </c>
    </row>
    <row r="5" spans="1:11" ht="13.35" customHeight="1">
      <c r="A5" s="49"/>
      <c r="B5" s="16" t="s">
        <v>20</v>
      </c>
      <c r="C5" s="50" t="s">
        <v>137</v>
      </c>
      <c r="D5" s="19">
        <v>25</v>
      </c>
      <c r="E5" s="15">
        <v>0.23737900000000001</v>
      </c>
      <c r="F5" s="19">
        <v>71</v>
      </c>
      <c r="G5" s="15">
        <v>0.41307700000000003</v>
      </c>
      <c r="H5" s="19">
        <v>68</v>
      </c>
      <c r="I5" s="15">
        <v>0.52266800000000002</v>
      </c>
      <c r="J5" s="19">
        <v>197</v>
      </c>
      <c r="K5" s="24">
        <v>3.8969149999999999</v>
      </c>
    </row>
    <row r="6" spans="1:11" ht="13.35" customHeight="1">
      <c r="A6" s="49"/>
      <c r="B6" s="16" t="s">
        <v>21</v>
      </c>
      <c r="C6" s="16" t="s">
        <v>45</v>
      </c>
      <c r="D6" s="19">
        <v>3078</v>
      </c>
      <c r="E6" s="15">
        <v>8.8999559999999995</v>
      </c>
      <c r="F6" s="19">
        <v>2895</v>
      </c>
      <c r="G6" s="15">
        <v>8.6790179999999992</v>
      </c>
      <c r="H6" s="19">
        <v>3957</v>
      </c>
      <c r="I6" s="15">
        <v>11.831379</v>
      </c>
      <c r="J6" s="19">
        <v>5822</v>
      </c>
      <c r="K6" s="24">
        <v>23.041298999999999</v>
      </c>
    </row>
    <row r="7" spans="1:11" ht="13.35" customHeight="1">
      <c r="A7" s="49"/>
      <c r="B7" s="16" t="s">
        <v>22</v>
      </c>
      <c r="C7" s="16" t="s">
        <v>46</v>
      </c>
      <c r="D7" s="19">
        <v>3050</v>
      </c>
      <c r="E7" s="15">
        <v>9.3098740000000006</v>
      </c>
      <c r="F7" s="19">
        <v>2839</v>
      </c>
      <c r="G7" s="15">
        <v>8.9247960000000006</v>
      </c>
      <c r="H7" s="19">
        <v>4239</v>
      </c>
      <c r="I7" s="15">
        <v>22.596708</v>
      </c>
      <c r="J7" s="19">
        <v>5943</v>
      </c>
      <c r="K7" s="24">
        <v>29.321643999999999</v>
      </c>
    </row>
    <row r="8" spans="1:11" ht="13.35" customHeight="1">
      <c r="A8" s="49"/>
      <c r="B8" s="16" t="s">
        <v>23</v>
      </c>
      <c r="C8" s="16" t="s">
        <v>47</v>
      </c>
      <c r="D8" s="19">
        <v>4599</v>
      </c>
      <c r="E8" s="15">
        <v>16.696707</v>
      </c>
      <c r="F8" s="19">
        <v>4388</v>
      </c>
      <c r="G8" s="15">
        <v>17.734361</v>
      </c>
      <c r="H8" s="19">
        <v>5466</v>
      </c>
      <c r="I8" s="15">
        <v>30.512321</v>
      </c>
      <c r="J8" s="19">
        <v>8310</v>
      </c>
      <c r="K8" s="24">
        <v>62.059429999999999</v>
      </c>
    </row>
    <row r="9" spans="1:11" ht="13.35" customHeight="1">
      <c r="A9" s="49"/>
      <c r="B9" s="16" t="s">
        <v>24</v>
      </c>
      <c r="C9" s="16" t="s">
        <v>48</v>
      </c>
      <c r="D9" s="19">
        <v>9826</v>
      </c>
      <c r="E9" s="15">
        <v>34.970652999999999</v>
      </c>
      <c r="F9" s="19">
        <v>6279</v>
      </c>
      <c r="G9" s="15">
        <v>20.886113000000002</v>
      </c>
      <c r="H9" s="19">
        <v>5290</v>
      </c>
      <c r="I9" s="15">
        <v>17.714255000000001</v>
      </c>
      <c r="J9" s="19">
        <v>11263</v>
      </c>
      <c r="K9" s="24">
        <v>83.566051000000002</v>
      </c>
    </row>
    <row r="10" spans="1:11" s="51" customFormat="1" ht="13.35" customHeight="1">
      <c r="A10" s="49"/>
      <c r="B10" s="16" t="s">
        <v>25</v>
      </c>
      <c r="C10" s="16" t="s">
        <v>49</v>
      </c>
      <c r="D10" s="19">
        <v>16709</v>
      </c>
      <c r="E10" s="15">
        <v>55.004179000000001</v>
      </c>
      <c r="F10" s="19">
        <v>13523</v>
      </c>
      <c r="G10" s="15">
        <v>48.856650999999999</v>
      </c>
      <c r="H10" s="19">
        <v>9589</v>
      </c>
      <c r="I10" s="15">
        <v>35.583348000000001</v>
      </c>
      <c r="J10" s="19">
        <v>21985</v>
      </c>
      <c r="K10" s="24">
        <v>210.009952</v>
      </c>
    </row>
    <row r="11" spans="1:11" s="1" customFormat="1" ht="13.35" customHeight="1">
      <c r="A11" s="26"/>
      <c r="B11" s="16" t="s">
        <v>26</v>
      </c>
      <c r="C11" s="16" t="s">
        <v>50</v>
      </c>
      <c r="D11" s="19">
        <v>21984</v>
      </c>
      <c r="E11" s="15">
        <v>80.738899000000004</v>
      </c>
      <c r="F11" s="19">
        <v>20238</v>
      </c>
      <c r="G11" s="15">
        <v>76.223805999999996</v>
      </c>
      <c r="H11" s="19">
        <v>20836</v>
      </c>
      <c r="I11" s="15">
        <v>92.091134999999994</v>
      </c>
      <c r="J11" s="19">
        <v>44058</v>
      </c>
      <c r="K11" s="24">
        <v>516.77207899999996</v>
      </c>
    </row>
    <row r="12" spans="1:11" s="1" customFormat="1" ht="13.35" customHeight="1">
      <c r="A12" s="26"/>
      <c r="B12" s="16" t="s">
        <v>27</v>
      </c>
      <c r="C12" s="16" t="s">
        <v>51</v>
      </c>
      <c r="D12" s="19">
        <v>27774</v>
      </c>
      <c r="E12" s="15">
        <v>110.731126</v>
      </c>
      <c r="F12" s="19">
        <v>24539</v>
      </c>
      <c r="G12" s="15">
        <v>96.705411999999995</v>
      </c>
      <c r="H12" s="19">
        <v>23854</v>
      </c>
      <c r="I12" s="15">
        <v>104.545568</v>
      </c>
      <c r="J12" s="19">
        <v>69212</v>
      </c>
      <c r="K12" s="24">
        <v>881.12173800000005</v>
      </c>
    </row>
    <row r="13" spans="1:11" s="1" customFormat="1" ht="13.35" customHeight="1">
      <c r="A13" s="26"/>
      <c r="B13" s="27" t="s">
        <v>28</v>
      </c>
      <c r="C13" s="27" t="s">
        <v>52</v>
      </c>
      <c r="D13" s="19">
        <v>35174</v>
      </c>
      <c r="E13" s="15">
        <v>153.66269600000001</v>
      </c>
      <c r="F13" s="19">
        <v>30594</v>
      </c>
      <c r="G13" s="15">
        <v>131.47932700000001</v>
      </c>
      <c r="H13" s="19">
        <v>28318</v>
      </c>
      <c r="I13" s="15">
        <v>137.04121900000001</v>
      </c>
      <c r="J13" s="19">
        <v>66067</v>
      </c>
      <c r="K13" s="24">
        <v>865.37252899999999</v>
      </c>
    </row>
    <row r="14" spans="1:11" s="1" customFormat="1" ht="13.35" customHeight="1">
      <c r="A14" s="26"/>
      <c r="B14" s="27" t="s">
        <v>29</v>
      </c>
      <c r="C14" s="27" t="s">
        <v>53</v>
      </c>
      <c r="D14" s="19">
        <v>47010</v>
      </c>
      <c r="E14" s="15">
        <v>233.38668699999999</v>
      </c>
      <c r="F14" s="19">
        <v>38820</v>
      </c>
      <c r="G14" s="15">
        <v>183.81322700000001</v>
      </c>
      <c r="H14" s="19">
        <v>32551</v>
      </c>
      <c r="I14" s="15">
        <v>162.43917200000001</v>
      </c>
      <c r="J14" s="19">
        <v>64173</v>
      </c>
      <c r="K14" s="24">
        <v>889.95149800000002</v>
      </c>
    </row>
    <row r="15" spans="1:11" customFormat="1" ht="13.35" customHeight="1">
      <c r="A15" s="26"/>
      <c r="B15" s="27" t="s">
        <v>30</v>
      </c>
      <c r="C15" s="27" t="s">
        <v>54</v>
      </c>
      <c r="D15" s="19">
        <v>43665</v>
      </c>
      <c r="E15" s="15">
        <v>204.66048000000001</v>
      </c>
      <c r="F15" s="19">
        <v>51407</v>
      </c>
      <c r="G15" s="15">
        <v>286.49962099999999</v>
      </c>
      <c r="H15" s="19">
        <v>38371</v>
      </c>
      <c r="I15" s="15">
        <v>196.23424299999999</v>
      </c>
      <c r="J15" s="19">
        <v>69684</v>
      </c>
      <c r="K15" s="24">
        <v>992.08891200000005</v>
      </c>
    </row>
    <row r="16" spans="1:11" customFormat="1" ht="13.35" customHeight="1">
      <c r="A16" s="26"/>
      <c r="B16" s="27" t="s">
        <v>31</v>
      </c>
      <c r="C16" s="27" t="s">
        <v>55</v>
      </c>
      <c r="D16" s="19">
        <v>49096</v>
      </c>
      <c r="E16" s="15">
        <v>217.459529</v>
      </c>
      <c r="F16" s="19">
        <v>42757</v>
      </c>
      <c r="G16" s="15">
        <v>215.472657</v>
      </c>
      <c r="H16" s="19">
        <v>49236</v>
      </c>
      <c r="I16" s="15">
        <v>307.31728900000002</v>
      </c>
      <c r="J16" s="19">
        <v>74489</v>
      </c>
      <c r="K16" s="24">
        <v>1167.1935000000001</v>
      </c>
    </row>
    <row r="17" spans="1:11" customFormat="1" ht="13.35" customHeight="1">
      <c r="A17" s="26"/>
      <c r="B17" s="27" t="s">
        <v>32</v>
      </c>
      <c r="C17" s="27" t="s">
        <v>56</v>
      </c>
      <c r="D17" s="19">
        <v>45611</v>
      </c>
      <c r="E17" s="15">
        <v>213.32069799999999</v>
      </c>
      <c r="F17" s="19">
        <v>41911</v>
      </c>
      <c r="G17" s="15">
        <v>201.64290199999999</v>
      </c>
      <c r="H17" s="19">
        <v>38546</v>
      </c>
      <c r="I17" s="15">
        <v>216.42077499999999</v>
      </c>
      <c r="J17" s="19">
        <v>85975</v>
      </c>
      <c r="K17" s="24">
        <v>1431.8789280000001</v>
      </c>
    </row>
    <row r="18" spans="1:11" customFormat="1" ht="13.35" customHeight="1">
      <c r="A18" s="26"/>
      <c r="B18" s="27" t="s">
        <v>33</v>
      </c>
      <c r="C18" s="27" t="s">
        <v>57</v>
      </c>
      <c r="D18" s="19">
        <v>42525</v>
      </c>
      <c r="E18" s="15">
        <v>208.926196</v>
      </c>
      <c r="F18" s="19">
        <v>46186</v>
      </c>
      <c r="G18" s="15">
        <v>222.66452000000001</v>
      </c>
      <c r="H18" s="19">
        <v>35386</v>
      </c>
      <c r="I18" s="15">
        <v>192.03212099999999</v>
      </c>
      <c r="J18" s="19">
        <v>76084</v>
      </c>
      <c r="K18" s="24">
        <v>1237.347837</v>
      </c>
    </row>
    <row r="19" spans="1:11" customFormat="1" ht="13.35" customHeight="1">
      <c r="A19" s="26"/>
      <c r="B19" s="27" t="s">
        <v>34</v>
      </c>
      <c r="C19" s="27" t="s">
        <v>58</v>
      </c>
      <c r="D19" s="19">
        <v>46115</v>
      </c>
      <c r="E19" s="15">
        <v>238.59659400000001</v>
      </c>
      <c r="F19" s="19">
        <v>40853</v>
      </c>
      <c r="G19" s="15">
        <v>210.05098599999999</v>
      </c>
      <c r="H19" s="19">
        <v>34894</v>
      </c>
      <c r="I19" s="15">
        <v>192.820134</v>
      </c>
      <c r="J19" s="19">
        <v>71949</v>
      </c>
      <c r="K19" s="24">
        <v>1156.593114</v>
      </c>
    </row>
    <row r="20" spans="1:11" customFormat="1" ht="13.35" customHeight="1">
      <c r="A20" s="26"/>
      <c r="B20" s="27" t="s">
        <v>35</v>
      </c>
      <c r="C20" s="27" t="s">
        <v>59</v>
      </c>
      <c r="D20" s="19">
        <v>158390</v>
      </c>
      <c r="E20" s="15">
        <v>933.38730199999998</v>
      </c>
      <c r="F20" s="19">
        <v>176363</v>
      </c>
      <c r="G20" s="15">
        <v>1031.007376</v>
      </c>
      <c r="H20" s="19">
        <v>171508</v>
      </c>
      <c r="I20" s="15">
        <v>1047.6007549999999</v>
      </c>
      <c r="J20" s="19">
        <v>374553</v>
      </c>
      <c r="K20" s="24">
        <v>6312.3436849999998</v>
      </c>
    </row>
    <row r="21" spans="1:11" customFormat="1" ht="13.35" customHeight="1">
      <c r="A21" s="26"/>
      <c r="B21" s="27" t="s">
        <v>36</v>
      </c>
      <c r="C21" s="27" t="s">
        <v>60</v>
      </c>
      <c r="D21" s="19">
        <v>174182</v>
      </c>
      <c r="E21" s="15">
        <v>1278.6860830000001</v>
      </c>
      <c r="F21" s="19">
        <v>190716</v>
      </c>
      <c r="G21" s="15">
        <v>1387.3325440000001</v>
      </c>
      <c r="H21" s="19">
        <v>193790</v>
      </c>
      <c r="I21" s="15">
        <v>1492.528679</v>
      </c>
      <c r="J21" s="19">
        <v>384123</v>
      </c>
      <c r="K21" s="24">
        <v>6951.2316350000001</v>
      </c>
    </row>
    <row r="22" spans="1:11" customFormat="1" ht="13.35" customHeight="1">
      <c r="A22" s="26"/>
      <c r="B22" s="27" t="s">
        <v>37</v>
      </c>
      <c r="C22" s="27" t="s">
        <v>61</v>
      </c>
      <c r="D22" s="19">
        <v>88567</v>
      </c>
      <c r="E22" s="15">
        <v>799.58756800000003</v>
      </c>
      <c r="F22" s="19">
        <v>103348</v>
      </c>
      <c r="G22" s="15">
        <v>916.95566799999995</v>
      </c>
      <c r="H22" s="19">
        <v>103035</v>
      </c>
      <c r="I22" s="15">
        <v>1003.013887</v>
      </c>
      <c r="J22" s="19">
        <v>167607</v>
      </c>
      <c r="K22" s="24">
        <v>3449.2140100000001</v>
      </c>
    </row>
    <row r="23" spans="1:11" customFormat="1" ht="13.35" customHeight="1">
      <c r="A23" s="26"/>
      <c r="B23" s="27" t="s">
        <v>38</v>
      </c>
      <c r="C23" s="27" t="s">
        <v>62</v>
      </c>
      <c r="D23" s="19">
        <v>48848</v>
      </c>
      <c r="E23" s="15">
        <v>508.65197799999999</v>
      </c>
      <c r="F23" s="19">
        <v>57708</v>
      </c>
      <c r="G23" s="15">
        <v>590.99336700000003</v>
      </c>
      <c r="H23" s="19">
        <v>56425</v>
      </c>
      <c r="I23" s="15">
        <v>655.68972900000006</v>
      </c>
      <c r="J23" s="19">
        <v>85651</v>
      </c>
      <c r="K23" s="24">
        <v>2028.8136199999999</v>
      </c>
    </row>
    <row r="24" spans="1:11" customFormat="1" ht="13.35" customHeight="1">
      <c r="A24" s="26"/>
      <c r="B24" s="27" t="s">
        <v>39</v>
      </c>
      <c r="C24" s="27" t="s">
        <v>63</v>
      </c>
      <c r="D24" s="19">
        <v>51374</v>
      </c>
      <c r="E24" s="15">
        <v>629.40806399999997</v>
      </c>
      <c r="F24" s="19">
        <v>62184</v>
      </c>
      <c r="G24" s="15">
        <v>763.59048099999995</v>
      </c>
      <c r="H24" s="19">
        <v>61201</v>
      </c>
      <c r="I24" s="15">
        <v>866.98488899999995</v>
      </c>
      <c r="J24" s="19">
        <v>88893</v>
      </c>
      <c r="K24" s="24">
        <v>2403.1714809999999</v>
      </c>
    </row>
    <row r="25" spans="1:11" customFormat="1" ht="13.35" customHeight="1">
      <c r="A25" s="26"/>
      <c r="B25" s="27" t="s">
        <v>40</v>
      </c>
      <c r="C25" s="27" t="s">
        <v>64</v>
      </c>
      <c r="D25" s="19">
        <v>18252</v>
      </c>
      <c r="E25" s="15">
        <v>264.37686000000002</v>
      </c>
      <c r="F25" s="19">
        <v>22107</v>
      </c>
      <c r="G25" s="15">
        <v>332.16170499999998</v>
      </c>
      <c r="H25" s="19">
        <v>21222</v>
      </c>
      <c r="I25" s="15">
        <v>379.34168499999998</v>
      </c>
      <c r="J25" s="19">
        <v>28703</v>
      </c>
      <c r="K25" s="24">
        <v>931.95069799999999</v>
      </c>
    </row>
    <row r="26" spans="1:11" customFormat="1" ht="13.35" customHeight="1">
      <c r="A26" s="26"/>
      <c r="B26" s="27" t="s">
        <v>41</v>
      </c>
      <c r="C26" s="27" t="s">
        <v>65</v>
      </c>
      <c r="D26" s="19">
        <v>18209</v>
      </c>
      <c r="E26" s="15">
        <v>298.04987999999997</v>
      </c>
      <c r="F26" s="19">
        <v>21574</v>
      </c>
      <c r="G26" s="15">
        <v>392.360342</v>
      </c>
      <c r="H26" s="19">
        <v>19706</v>
      </c>
      <c r="I26" s="15">
        <v>424.34772700000002</v>
      </c>
      <c r="J26" s="19">
        <v>26257</v>
      </c>
      <c r="K26" s="24">
        <v>985.03280800000005</v>
      </c>
    </row>
    <row r="27" spans="1:11" customFormat="1" ht="13.35" customHeight="1">
      <c r="A27" s="26"/>
      <c r="B27" s="27" t="s">
        <v>42</v>
      </c>
      <c r="C27" s="27" t="s">
        <v>66</v>
      </c>
      <c r="D27" s="19">
        <v>5456</v>
      </c>
      <c r="E27" s="15">
        <v>103.719917</v>
      </c>
      <c r="F27" s="19">
        <v>6044</v>
      </c>
      <c r="G27" s="15">
        <v>127.79797000000001</v>
      </c>
      <c r="H27" s="19">
        <v>5447</v>
      </c>
      <c r="I27" s="15">
        <v>139.76858999999999</v>
      </c>
      <c r="J27" s="19">
        <v>7168</v>
      </c>
      <c r="K27" s="24">
        <v>314.64339200000001</v>
      </c>
    </row>
    <row r="28" spans="1:11" customFormat="1" ht="13.35" customHeight="1">
      <c r="A28" s="26"/>
      <c r="B28" s="27" t="s">
        <v>43</v>
      </c>
      <c r="C28" s="27" t="s">
        <v>67</v>
      </c>
      <c r="D28" s="19">
        <v>1248</v>
      </c>
      <c r="E28" s="15">
        <v>27.486763</v>
      </c>
      <c r="F28" s="19">
        <v>1169</v>
      </c>
      <c r="G28" s="15">
        <v>25.908481999999999</v>
      </c>
      <c r="H28" s="19">
        <v>923</v>
      </c>
      <c r="I28" s="15">
        <v>24.786591000000001</v>
      </c>
      <c r="J28" s="19">
        <v>1179</v>
      </c>
      <c r="K28" s="24">
        <v>55.195779999999999</v>
      </c>
    </row>
    <row r="29" spans="1:11" customFormat="1" ht="13.35" customHeight="1">
      <c r="A29" s="88"/>
      <c r="B29" s="75" t="s">
        <v>9</v>
      </c>
      <c r="C29" s="89"/>
      <c r="D29" s="20">
        <f t="shared" ref="D29:K29" si="0">SUM(D4:D28)</f>
        <v>961916</v>
      </c>
      <c r="E29" s="18">
        <f t="shared" si="0"/>
        <v>6640.3328310000006</v>
      </c>
      <c r="F29" s="20">
        <f t="shared" si="0"/>
        <v>1009738</v>
      </c>
      <c r="G29" s="18">
        <f t="shared" si="0"/>
        <v>7310.2989619999998</v>
      </c>
      <c r="H29" s="20">
        <f t="shared" si="0"/>
        <v>965187</v>
      </c>
      <c r="I29" s="18">
        <f t="shared" si="0"/>
        <v>7767.7502000000004</v>
      </c>
      <c r="J29" s="20">
        <f t="shared" si="0"/>
        <v>1841176</v>
      </c>
      <c r="K29" s="25">
        <f t="shared" si="0"/>
        <v>33013.414598000003</v>
      </c>
    </row>
    <row r="30" spans="1:11" s="1" customFormat="1" ht="13.35" customHeight="1"/>
    <row r="31" spans="1:11" customFormat="1" ht="13.35" customHeight="1">
      <c r="F31" s="560" t="s">
        <v>506</v>
      </c>
      <c r="H31" s="1"/>
    </row>
    <row r="32" spans="1:11" customFormat="1" ht="13.35" customHeight="1">
      <c r="H32" s="1"/>
    </row>
    <row r="33" spans="3:11" customFormat="1" ht="13.35" customHeight="1">
      <c r="C33" s="144" t="s">
        <v>317</v>
      </c>
      <c r="D33" s="171">
        <f>A2.6.1!D13-D29</f>
        <v>0</v>
      </c>
      <c r="E33" s="171">
        <f>A2.6.1!E13-E29</f>
        <v>0</v>
      </c>
      <c r="F33" s="171">
        <f>A2.6.1!F13-F29</f>
        <v>0</v>
      </c>
      <c r="G33" s="171">
        <f>A2.6.1!G13-G29</f>
        <v>0</v>
      </c>
      <c r="H33" s="171">
        <f>A2.6.1!H13-H29</f>
        <v>0</v>
      </c>
      <c r="I33" s="171">
        <f>A2.6.1!I13-I29</f>
        <v>0</v>
      </c>
      <c r="J33" s="171">
        <f>A2.6.1!J13-J29</f>
        <v>0</v>
      </c>
      <c r="K33" s="172">
        <f>A2.6.1!K13-K29</f>
        <v>0</v>
      </c>
    </row>
    <row r="34" spans="3:11" customFormat="1" ht="13.35" customHeight="1">
      <c r="H34" s="1"/>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sheetPr codeName="Sheet55"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style="1" customWidth="1"/>
    <col min="2" max="2" width="2.7109375" style="106" customWidth="1"/>
    <col min="3" max="3" width="18.7109375" style="106" customWidth="1"/>
    <col min="4" max="5" width="10.7109375" style="106" customWidth="1"/>
    <col min="6" max="6" width="10.7109375" style="68" customWidth="1"/>
    <col min="7" max="11" width="10.7109375" style="6" customWidth="1"/>
    <col min="12" max="16384" width="9.140625" style="51"/>
  </cols>
  <sheetData>
    <row r="1" spans="1:11" s="77" customFormat="1" ht="27.95" customHeight="1">
      <c r="A1" s="692" t="s">
        <v>496</v>
      </c>
      <c r="B1" s="692"/>
      <c r="C1" s="692"/>
      <c r="D1" s="692"/>
      <c r="E1" s="692"/>
      <c r="F1" s="692"/>
      <c r="G1" s="692"/>
      <c r="H1" s="692"/>
      <c r="I1" s="692"/>
      <c r="J1" s="692"/>
      <c r="K1" s="692"/>
    </row>
    <row r="2" spans="1:11" s="77"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90</v>
      </c>
      <c r="F3" s="32" t="s">
        <v>18</v>
      </c>
      <c r="G3" s="134" t="s">
        <v>90</v>
      </c>
      <c r="H3" s="32" t="s">
        <v>18</v>
      </c>
      <c r="I3" s="134" t="s">
        <v>90</v>
      </c>
      <c r="J3" s="33" t="s">
        <v>18</v>
      </c>
      <c r="K3" s="86" t="s">
        <v>90</v>
      </c>
    </row>
    <row r="4" spans="1:11" ht="13.35" customHeight="1">
      <c r="A4" s="49"/>
      <c r="B4" s="16" t="s">
        <v>19</v>
      </c>
      <c r="C4" s="16" t="s">
        <v>44</v>
      </c>
      <c r="D4" s="62">
        <f>A2.6.4!D4/A2.6.4!D$29</f>
        <v>1.1944909950557013E-3</v>
      </c>
      <c r="E4" s="58">
        <f>A2.6.4!E4/A2.6.4!E$29</f>
        <v>1.5626871821178446E-3</v>
      </c>
      <c r="F4" s="62">
        <f>A2.6.4!F4/A2.6.4!F$29</f>
        <v>1.213185994782805E-3</v>
      </c>
      <c r="G4" s="58">
        <f>A2.6.4!G4/A2.6.4!G$29</f>
        <v>1.6612936164620842E-3</v>
      </c>
      <c r="H4" s="62">
        <f>A2.6.4!H4/A2.6.4!H$29</f>
        <v>1.3769352467449313E-3</v>
      </c>
      <c r="I4" s="58">
        <f>A2.6.4!I4/A2.6.4!I$29</f>
        <v>1.8004354722941528E-3</v>
      </c>
      <c r="J4" s="62">
        <f>A2.6.4!J4/A2.6.4!J$29</f>
        <v>9.9447309762890675E-4</v>
      </c>
      <c r="K4" s="59">
        <f>A2.6.4!K4/A2.6.4!K$29</f>
        <v>9.5724914810582781E-4</v>
      </c>
    </row>
    <row r="5" spans="1:11" ht="13.35" customHeight="1">
      <c r="A5" s="49"/>
      <c r="B5" s="16" t="s">
        <v>20</v>
      </c>
      <c r="C5" s="50" t="s">
        <v>137</v>
      </c>
      <c r="D5" s="62">
        <f>A2.6.4!D5/A2.6.4!D$29</f>
        <v>2.59897953667472E-5</v>
      </c>
      <c r="E5" s="58">
        <f>A2.6.4!E5/A2.6.4!E$29</f>
        <v>3.5748057520823381E-5</v>
      </c>
      <c r="F5" s="62">
        <f>A2.6.4!F5/A2.6.4!F$29</f>
        <v>7.0315269901697272E-5</v>
      </c>
      <c r="G5" s="58">
        <f>A2.6.4!G5/A2.6.4!G$29</f>
        <v>5.6506170561181495E-5</v>
      </c>
      <c r="H5" s="62">
        <f>A2.6.4!H5/A2.6.4!H$29</f>
        <v>7.0452668757453219E-5</v>
      </c>
      <c r="I5" s="58">
        <f>A2.6.4!I5/A2.6.4!I$29</f>
        <v>6.7286921765326589E-5</v>
      </c>
      <c r="J5" s="62">
        <f>A2.6.4!J5/A2.6.4!J$29</f>
        <v>1.069968324592543E-4</v>
      </c>
      <c r="K5" s="59">
        <f>A2.6.4!K5/A2.6.4!K$29</f>
        <v>1.180403495806847E-4</v>
      </c>
    </row>
    <row r="6" spans="1:11" ht="13.35" customHeight="1">
      <c r="A6" s="49"/>
      <c r="B6" s="16" t="s">
        <v>21</v>
      </c>
      <c r="C6" s="16" t="s">
        <v>45</v>
      </c>
      <c r="D6" s="62">
        <f>A2.6.4!D6/A2.6.4!D$29</f>
        <v>3.1998636055539154E-3</v>
      </c>
      <c r="E6" s="58">
        <f>A2.6.4!E6/A2.6.4!E$29</f>
        <v>1.3402876371574452E-3</v>
      </c>
      <c r="F6" s="62">
        <f>A2.6.4!F6/A2.6.4!F$29</f>
        <v>2.8670803713438534E-3</v>
      </c>
      <c r="G6" s="58">
        <f>A2.6.4!G6/A2.6.4!G$29</f>
        <v>1.1872316091468763E-3</v>
      </c>
      <c r="H6" s="62">
        <f>A2.6.4!H6/A2.6.4!H$29</f>
        <v>4.0997236804888584E-3</v>
      </c>
      <c r="I6" s="58">
        <f>A2.6.4!I6/A2.6.4!I$29</f>
        <v>1.5231410247976305E-3</v>
      </c>
      <c r="J6" s="62">
        <f>A2.6.4!J6/A2.6.4!J$29</f>
        <v>3.162109434404967E-3</v>
      </c>
      <c r="K6" s="59">
        <f>A2.6.4!K6/A2.6.4!K$29</f>
        <v>6.9793746816470994E-4</v>
      </c>
    </row>
    <row r="7" spans="1:11" ht="13.35" customHeight="1">
      <c r="A7" s="49"/>
      <c r="B7" s="16" t="s">
        <v>22</v>
      </c>
      <c r="C7" s="16" t="s">
        <v>46</v>
      </c>
      <c r="D7" s="62">
        <f>A2.6.4!D7/A2.6.4!D$29</f>
        <v>3.1707550347431584E-3</v>
      </c>
      <c r="E7" s="58">
        <f>A2.6.4!E7/A2.6.4!E$29</f>
        <v>1.4020191814087097E-3</v>
      </c>
      <c r="F7" s="62">
        <f>A2.6.4!F7/A2.6.4!F$29</f>
        <v>2.8116204401537823E-3</v>
      </c>
      <c r="G7" s="58">
        <f>A2.6.4!G7/A2.6.4!G$29</f>
        <v>1.2208523955576087E-3</v>
      </c>
      <c r="H7" s="62">
        <f>A2.6.4!H7/A2.6.4!H$29</f>
        <v>4.39189504210065E-3</v>
      </c>
      <c r="I7" s="58">
        <f>A2.6.4!I7/A2.6.4!I$29</f>
        <v>2.909041539466601E-3</v>
      </c>
      <c r="J7" s="62">
        <f>A2.6.4!J7/A2.6.4!J$29</f>
        <v>3.2278283010423771E-3</v>
      </c>
      <c r="K7" s="59">
        <f>A2.6.4!K7/A2.6.4!K$29</f>
        <v>8.8817362145193984E-4</v>
      </c>
    </row>
    <row r="8" spans="1:11" ht="13.35" customHeight="1">
      <c r="A8" s="49"/>
      <c r="B8" s="16" t="s">
        <v>23</v>
      </c>
      <c r="C8" s="16" t="s">
        <v>47</v>
      </c>
      <c r="D8" s="62">
        <f>A2.6.4!D8/A2.6.4!D$29</f>
        <v>4.7810827556668146E-3</v>
      </c>
      <c r="E8" s="58">
        <f>A2.6.4!E8/A2.6.4!E$29</f>
        <v>2.5144382706319196E-3</v>
      </c>
      <c r="F8" s="62">
        <f>A2.6.4!F8/A2.6.4!F$29</f>
        <v>4.345681751107713E-3</v>
      </c>
      <c r="G8" s="58">
        <f>A2.6.4!G8/A2.6.4!G$29</f>
        <v>2.4259419610861053E-3</v>
      </c>
      <c r="H8" s="62">
        <f>A2.6.4!H8/A2.6.4!H$29</f>
        <v>5.6631512857094014E-3</v>
      </c>
      <c r="I8" s="58">
        <f>A2.6.4!I8/A2.6.4!I$29</f>
        <v>3.9280770125692246E-3</v>
      </c>
      <c r="J8" s="62">
        <f>A2.6.4!J8/A2.6.4!J$29</f>
        <v>4.5134196839411332E-3</v>
      </c>
      <c r="K8" s="59">
        <f>A2.6.4!K8/A2.6.4!K$29</f>
        <v>1.8798246335827269E-3</v>
      </c>
    </row>
    <row r="9" spans="1:11" ht="13.35" customHeight="1">
      <c r="A9" s="49"/>
      <c r="B9" s="16" t="s">
        <v>24</v>
      </c>
      <c r="C9" s="16" t="s">
        <v>48</v>
      </c>
      <c r="D9" s="62">
        <f>A2.6.4!D9/A2.6.4!D$29</f>
        <v>1.021502917094632E-2</v>
      </c>
      <c r="E9" s="58">
        <f>A2.6.4!E9/A2.6.4!E$29</f>
        <v>5.2664006293090572E-3</v>
      </c>
      <c r="F9" s="62">
        <f>A2.6.4!F9/A2.6.4!F$29</f>
        <v>6.218444784686721E-3</v>
      </c>
      <c r="G9" s="58">
        <f>A2.6.4!G9/A2.6.4!G$29</f>
        <v>2.8570805528705546E-3</v>
      </c>
      <c r="H9" s="62">
        <f>A2.6.4!H9/A2.6.4!H$29</f>
        <v>5.480803201866581E-3</v>
      </c>
      <c r="I9" s="58">
        <f>A2.6.4!I9/A2.6.4!I$29</f>
        <v>2.280487212371994E-3</v>
      </c>
      <c r="J9" s="62">
        <f>A2.6.4!J9/A2.6.4!J$29</f>
        <v>6.1172859085714786E-3</v>
      </c>
      <c r="K9" s="59">
        <f>A2.6.4!K9/A2.6.4!K$29</f>
        <v>2.5312756047071406E-3</v>
      </c>
    </row>
    <row r="10" spans="1:11" ht="13.35" customHeight="1">
      <c r="A10" s="49"/>
      <c r="B10" s="16" t="s">
        <v>25</v>
      </c>
      <c r="C10" s="16" t="s">
        <v>49</v>
      </c>
      <c r="D10" s="62">
        <f>A2.6.4!D10/A2.6.4!D$29</f>
        <v>1.7370539631319157E-2</v>
      </c>
      <c r="E10" s="58">
        <f>A2.6.4!E10/A2.6.4!E$29</f>
        <v>8.2833466935898527E-3</v>
      </c>
      <c r="F10" s="62">
        <f>A2.6.4!F10/A2.6.4!F$29</f>
        <v>1.339258302648806E-2</v>
      </c>
      <c r="G10" s="58">
        <f>A2.6.4!G10/A2.6.4!G$29</f>
        <v>6.6832630585922674E-3</v>
      </c>
      <c r="H10" s="62">
        <f>A2.6.4!H10/A2.6.4!H$29</f>
        <v>9.9348623634591023E-3</v>
      </c>
      <c r="I10" s="58">
        <f>A2.6.4!I10/A2.6.4!I$29</f>
        <v>4.5809078669908822E-3</v>
      </c>
      <c r="J10" s="62">
        <f>A2.6.4!J10/A2.6.4!J$29</f>
        <v>1.1940737876226933E-2</v>
      </c>
      <c r="K10" s="59">
        <f>A2.6.4!K10/A2.6.4!K$29</f>
        <v>6.3613520309020889E-3</v>
      </c>
    </row>
    <row r="11" spans="1:11" s="1" customFormat="1" ht="13.35" customHeight="1">
      <c r="A11" s="26"/>
      <c r="B11" s="16" t="s">
        <v>26</v>
      </c>
      <c r="C11" s="16" t="s">
        <v>50</v>
      </c>
      <c r="D11" s="62">
        <f>A2.6.4!D11/A2.6.4!D$29</f>
        <v>2.2854386453702819E-2</v>
      </c>
      <c r="E11" s="58">
        <f>A2.6.4!E11/A2.6.4!E$29</f>
        <v>1.2158863276110985E-2</v>
      </c>
      <c r="F11" s="62">
        <f>A2.6.4!F11/A2.6.4!F$29</f>
        <v>2.0042822989726049E-2</v>
      </c>
      <c r="G11" s="58">
        <f>A2.6.4!G11/A2.6.4!G$29</f>
        <v>1.0426906805894321E-2</v>
      </c>
      <c r="H11" s="62">
        <f>A2.6.4!H11/A2.6.4!H$29</f>
        <v>2.1587526562210226E-2</v>
      </c>
      <c r="I11" s="58">
        <f>A2.6.4!I11/A2.6.4!I$29</f>
        <v>1.1855573702666183E-2</v>
      </c>
      <c r="J11" s="62">
        <f>A2.6.4!J11/A2.6.4!J$29</f>
        <v>2.3929271291826527E-2</v>
      </c>
      <c r="K11" s="59">
        <f>A2.6.4!K11/A2.6.4!K$29</f>
        <v>1.5653396817404849E-2</v>
      </c>
    </row>
    <row r="12" spans="1:11" s="1" customFormat="1" ht="13.35" customHeight="1">
      <c r="A12" s="26"/>
      <c r="B12" s="16" t="s">
        <v>27</v>
      </c>
      <c r="C12" s="16" t="s">
        <v>51</v>
      </c>
      <c r="D12" s="62">
        <f>A2.6.4!D12/A2.6.4!D$29</f>
        <v>2.8873623060641469E-2</v>
      </c>
      <c r="E12" s="58">
        <f>A2.6.4!E12/A2.6.4!E$29</f>
        <v>1.6675538533709983E-2</v>
      </c>
      <c r="F12" s="62">
        <f>A2.6.4!F12/A2.6.4!F$29</f>
        <v>2.4302343776306329E-2</v>
      </c>
      <c r="G12" s="58">
        <f>A2.6.4!G12/A2.6.4!G$29</f>
        <v>1.3228653506879655E-2</v>
      </c>
      <c r="H12" s="62">
        <f>A2.6.4!H12/A2.6.4!H$29</f>
        <v>2.4714381772651312E-2</v>
      </c>
      <c r="I12" s="58">
        <f>A2.6.4!I12/A2.6.4!I$29</f>
        <v>1.3458925082323063E-2</v>
      </c>
      <c r="J12" s="62">
        <f>A2.6.4!J12/A2.6.4!J$29</f>
        <v>3.759119171659852E-2</v>
      </c>
      <c r="K12" s="59">
        <f>A2.6.4!K12/A2.6.4!K$29</f>
        <v>2.6689809240555796E-2</v>
      </c>
    </row>
    <row r="13" spans="1:11" s="1" customFormat="1" ht="13.35" customHeight="1">
      <c r="A13" s="26"/>
      <c r="B13" s="27" t="s">
        <v>28</v>
      </c>
      <c r="C13" s="27" t="s">
        <v>52</v>
      </c>
      <c r="D13" s="62">
        <f>A2.6.4!D13/A2.6.4!D$29</f>
        <v>3.6566602489198644E-2</v>
      </c>
      <c r="E13" s="58">
        <f>A2.6.4!E13/A2.6.4!E$29</f>
        <v>2.3140812352452397E-2</v>
      </c>
      <c r="F13" s="62">
        <f>A2.6.4!F13/A2.6.4!F$29</f>
        <v>3.0298948836232766E-2</v>
      </c>
      <c r="G13" s="58">
        <f>A2.6.4!G13/A2.6.4!G$29</f>
        <v>1.7985492478959988E-2</v>
      </c>
      <c r="H13" s="62">
        <f>A2.6.4!H13/A2.6.4!H$29</f>
        <v>2.9339392262846473E-2</v>
      </c>
      <c r="I13" s="58">
        <f>A2.6.4!I13/A2.6.4!I$29</f>
        <v>1.764233085147357E-2</v>
      </c>
      <c r="J13" s="62">
        <f>A2.6.4!J13/A2.6.4!J$29</f>
        <v>3.5883044315155099E-2</v>
      </c>
      <c r="K13" s="59">
        <f>A2.6.4!K13/A2.6.4!K$29</f>
        <v>2.6212754407186508E-2</v>
      </c>
    </row>
    <row r="14" spans="1:11" s="1" customFormat="1" ht="13.35" customHeight="1">
      <c r="A14" s="26"/>
      <c r="B14" s="27" t="s">
        <v>29</v>
      </c>
      <c r="C14" s="27" t="s">
        <v>53</v>
      </c>
      <c r="D14" s="62">
        <f>A2.6.4!D14/A2.6.4!D$29</f>
        <v>4.8871211207631438E-2</v>
      </c>
      <c r="E14" s="58">
        <f>A2.6.4!E14/A2.6.4!E$29</f>
        <v>3.5146835699326404E-2</v>
      </c>
      <c r="F14" s="62">
        <f>A2.6.4!F14/A2.6.4!F$29</f>
        <v>3.8445616585688562E-2</v>
      </c>
      <c r="G14" s="58">
        <f>A2.6.4!G14/A2.6.4!G$29</f>
        <v>2.5144419941713462E-2</v>
      </c>
      <c r="H14" s="62">
        <f>A2.6.4!H14/A2.6.4!H$29</f>
        <v>3.3725070892997935E-2</v>
      </c>
      <c r="I14" s="58">
        <f>A2.6.4!I14/A2.6.4!I$29</f>
        <v>2.0911997401770206E-2</v>
      </c>
      <c r="J14" s="62">
        <f>A2.6.4!J14/A2.6.4!J$29</f>
        <v>3.48543539563844E-2</v>
      </c>
      <c r="K14" s="59">
        <f>A2.6.4!K14/A2.6.4!K$29</f>
        <v>2.6957269002216889E-2</v>
      </c>
    </row>
    <row r="15" spans="1:11" s="1" customFormat="1" ht="13.35" customHeight="1">
      <c r="A15" s="26"/>
      <c r="B15" s="27" t="s">
        <v>30</v>
      </c>
      <c r="C15" s="27" t="s">
        <v>54</v>
      </c>
      <c r="D15" s="62">
        <f>A2.6.4!D15/A2.6.4!D$29</f>
        <v>4.5393776587560664E-2</v>
      </c>
      <c r="E15" s="58">
        <f>A2.6.4!E15/A2.6.4!E$29</f>
        <v>3.0820816547711988E-2</v>
      </c>
      <c r="F15" s="62">
        <f>A2.6.4!F15/A2.6.4!F$29</f>
        <v>5.0911226476571148E-2</v>
      </c>
      <c r="G15" s="58">
        <f>A2.6.4!G15/A2.6.4!G$29</f>
        <v>3.9191231779885718E-2</v>
      </c>
      <c r="H15" s="62">
        <f>A2.6.4!H15/A2.6.4!H$29</f>
        <v>3.9754990483709375E-2</v>
      </c>
      <c r="I15" s="58">
        <f>A2.6.4!I15/A2.6.4!I$29</f>
        <v>2.5262687129150984E-2</v>
      </c>
      <c r="J15" s="62">
        <f>A2.6.4!J15/A2.6.4!J$29</f>
        <v>3.7847549609597346E-2</v>
      </c>
      <c r="K15" s="59">
        <f>A2.6.4!K15/A2.6.4!K$29</f>
        <v>3.0051084508541027E-2</v>
      </c>
    </row>
    <row r="16" spans="1:11" s="1" customFormat="1" ht="13.35" customHeight="1">
      <c r="A16" s="26"/>
      <c r="B16" s="27" t="s">
        <v>31</v>
      </c>
      <c r="C16" s="27" t="s">
        <v>55</v>
      </c>
      <c r="D16" s="62">
        <f>A2.6.4!D16/A2.6.4!D$29</f>
        <v>5.1039799733032819E-2</v>
      </c>
      <c r="E16" s="58">
        <f>A2.6.4!E16/A2.6.4!E$29</f>
        <v>3.2748287553419471E-2</v>
      </c>
      <c r="F16" s="62">
        <f>A2.6.4!F16/A2.6.4!F$29</f>
        <v>4.2344647819533385E-2</v>
      </c>
      <c r="G16" s="58">
        <f>A2.6.4!G16/A2.6.4!G$29</f>
        <v>2.9475218198333378E-2</v>
      </c>
      <c r="H16" s="62">
        <f>A2.6.4!H16/A2.6.4!H$29</f>
        <v>5.1011876455028922E-2</v>
      </c>
      <c r="I16" s="58">
        <f>A2.6.4!I16/A2.6.4!I$29</f>
        <v>3.9563230161546649E-2</v>
      </c>
      <c r="J16" s="62">
        <f>A2.6.4!J16/A2.6.4!J$29</f>
        <v>4.0457294685570529E-2</v>
      </c>
      <c r="K16" s="59">
        <f>A2.6.4!K16/A2.6.4!K$29</f>
        <v>3.5355128035459565E-2</v>
      </c>
    </row>
    <row r="17" spans="1:11" s="1" customFormat="1" ht="13.35" customHeight="1">
      <c r="A17" s="26"/>
      <c r="B17" s="27" t="s">
        <v>32</v>
      </c>
      <c r="C17" s="27" t="s">
        <v>56</v>
      </c>
      <c r="D17" s="62">
        <f>A2.6.4!D17/A2.6.4!D$29</f>
        <v>4.741682225890826E-2</v>
      </c>
      <c r="E17" s="58">
        <f>A2.6.4!E17/A2.6.4!E$29</f>
        <v>3.2125000874071392E-2</v>
      </c>
      <c r="F17" s="62">
        <f>A2.6.4!F17/A2.6.4!F$29</f>
        <v>4.1506806716197664E-2</v>
      </c>
      <c r="G17" s="58">
        <f>A2.6.4!G17/A2.6.4!G$29</f>
        <v>2.7583400220451887E-2</v>
      </c>
      <c r="H17" s="62">
        <f>A2.6.4!H17/A2.6.4!H$29</f>
        <v>3.9936302498893995E-2</v>
      </c>
      <c r="I17" s="58">
        <f>A2.6.4!I17/A2.6.4!I$29</f>
        <v>2.7861448865850499E-2</v>
      </c>
      <c r="J17" s="62">
        <f>A2.6.4!J17/A2.6.4!J$29</f>
        <v>4.6695698835961363E-2</v>
      </c>
      <c r="K17" s="59">
        <f>A2.6.4!K17/A2.6.4!K$29</f>
        <v>4.3372639438719107E-2</v>
      </c>
    </row>
    <row r="18" spans="1:11" s="1" customFormat="1" ht="13.35" customHeight="1">
      <c r="A18" s="26"/>
      <c r="B18" s="27" t="s">
        <v>33</v>
      </c>
      <c r="C18" s="27" t="s">
        <v>57</v>
      </c>
      <c r="D18" s="62">
        <f>A2.6.4!D18/A2.6.4!D$29</f>
        <v>4.4208641918836986E-2</v>
      </c>
      <c r="E18" s="58">
        <f>A2.6.4!E18/A2.6.4!E$29</f>
        <v>3.1463211456004198E-2</v>
      </c>
      <c r="F18" s="62">
        <f>A2.6.4!F18/A2.6.4!F$29</f>
        <v>4.5740578249011128E-2</v>
      </c>
      <c r="G18" s="58">
        <f>A2.6.4!G18/A2.6.4!G$29</f>
        <v>3.0459016950940401E-2</v>
      </c>
      <c r="H18" s="62">
        <f>A2.6.4!H18/A2.6.4!H$29</f>
        <v>3.6662325538988814E-2</v>
      </c>
      <c r="I18" s="58">
        <f>A2.6.4!I18/A2.6.4!I$29</f>
        <v>2.4721716849236474E-2</v>
      </c>
      <c r="J18" s="62">
        <f>A2.6.4!J18/A2.6.4!J$29</f>
        <v>4.1323588836700023E-2</v>
      </c>
      <c r="K18" s="59">
        <f>A2.6.4!K18/A2.6.4!K$29</f>
        <v>3.7480153206416893E-2</v>
      </c>
    </row>
    <row r="19" spans="1:11" s="1" customFormat="1" ht="13.35" customHeight="1">
      <c r="A19" s="26"/>
      <c r="B19" s="27" t="s">
        <v>34</v>
      </c>
      <c r="C19" s="27" t="s">
        <v>58</v>
      </c>
      <c r="D19" s="62">
        <f>A2.6.4!D19/A2.6.4!D$29</f>
        <v>4.7940776533501886E-2</v>
      </c>
      <c r="E19" s="58">
        <f>A2.6.4!E19/A2.6.4!E$29</f>
        <v>3.5931420920066827E-2</v>
      </c>
      <c r="F19" s="62">
        <f>A2.6.4!F19/A2.6.4!F$29</f>
        <v>4.0459010159070968E-2</v>
      </c>
      <c r="G19" s="58">
        <f>A2.6.4!G19/A2.6.4!G$29</f>
        <v>2.873356987065449E-2</v>
      </c>
      <c r="H19" s="62">
        <f>A2.6.4!H19/A2.6.4!H$29</f>
        <v>3.6152579759155479E-2</v>
      </c>
      <c r="I19" s="58">
        <f>A2.6.4!I19/A2.6.4!I$29</f>
        <v>2.4823163597614144E-2</v>
      </c>
      <c r="J19" s="62">
        <f>A2.6.4!J19/A2.6.4!J$29</f>
        <v>3.907774161731415E-2</v>
      </c>
      <c r="K19" s="59">
        <f>A2.6.4!K19/A2.6.4!K$29</f>
        <v>3.5034034742654825E-2</v>
      </c>
    </row>
    <row r="20" spans="1:11" s="1" customFormat="1" ht="13.35" customHeight="1">
      <c r="A20" s="26"/>
      <c r="B20" s="27" t="s">
        <v>35</v>
      </c>
      <c r="C20" s="27" t="s">
        <v>59</v>
      </c>
      <c r="D20" s="62">
        <f>A2.6.4!D20/A2.6.4!D$29</f>
        <v>0.16466094752556357</v>
      </c>
      <c r="E20" s="58">
        <f>A2.6.4!E20/A2.6.4!E$29</f>
        <v>0.14056333104909088</v>
      </c>
      <c r="F20" s="62">
        <f>A2.6.4!F20/A2.6.4!F$29</f>
        <v>0.17466214007990191</v>
      </c>
      <c r="G20" s="58">
        <f>A2.6.4!G20/A2.6.4!G$29</f>
        <v>0.14103491271141258</v>
      </c>
      <c r="H20" s="62">
        <f>A2.6.4!H20/A2.6.4!H$29</f>
        <v>0.17769406343019539</v>
      </c>
      <c r="I20" s="58">
        <f>A2.6.4!I20/A2.6.4!I$29</f>
        <v>0.13486540221131207</v>
      </c>
      <c r="J20" s="62">
        <f>A2.6.4!J20/A2.6.4!J$29</f>
        <v>0.20343139384827957</v>
      </c>
      <c r="K20" s="59">
        <f>A2.6.4!K20/A2.6.4!K$29</f>
        <v>0.19120541640010816</v>
      </c>
    </row>
    <row r="21" spans="1:11" s="1" customFormat="1" ht="13.35" customHeight="1">
      <c r="A21" s="26"/>
      <c r="B21" s="27" t="s">
        <v>36</v>
      </c>
      <c r="C21" s="27" t="s">
        <v>60</v>
      </c>
      <c r="D21" s="62">
        <f>A2.6.4!D21/A2.6.4!D$29</f>
        <v>0.18107818146283045</v>
      </c>
      <c r="E21" s="58">
        <f>A2.6.4!E21/A2.6.4!E$29</f>
        <v>0.19256355299398997</v>
      </c>
      <c r="F21" s="62">
        <f>A2.6.4!F21/A2.6.4!F$29</f>
        <v>0.18887671851509996</v>
      </c>
      <c r="G21" s="58">
        <f>A2.6.4!G21/A2.6.4!G$29</f>
        <v>0.18977781226343232</v>
      </c>
      <c r="H21" s="62">
        <f>A2.6.4!H21/A2.6.4!H$29</f>
        <v>0.20077974527215969</v>
      </c>
      <c r="I21" s="58">
        <f>A2.6.4!I21/A2.6.4!I$29</f>
        <v>0.1921442683622859</v>
      </c>
      <c r="J21" s="62">
        <f>A2.6.4!J21/A2.6.4!J$29</f>
        <v>0.20862915875505655</v>
      </c>
      <c r="K21" s="59">
        <f>A2.6.4!K21/A2.6.4!K$29</f>
        <v>0.21055779051165205</v>
      </c>
    </row>
    <row r="22" spans="1:11" s="1" customFormat="1" ht="13.35" customHeight="1">
      <c r="A22" s="26"/>
      <c r="B22" s="27" t="s">
        <v>37</v>
      </c>
      <c r="C22" s="27" t="s">
        <v>61</v>
      </c>
      <c r="D22" s="62">
        <f>A2.6.4!D22/A2.6.4!D$29</f>
        <v>9.2073528249867975E-2</v>
      </c>
      <c r="E22" s="58">
        <f>A2.6.4!E22/A2.6.4!E$29</f>
        <v>0.12041377869903942</v>
      </c>
      <c r="F22" s="62">
        <f>A2.6.4!F22/A2.6.4!F$29</f>
        <v>0.10235130301127619</v>
      </c>
      <c r="G22" s="58">
        <f>A2.6.4!G22/A2.6.4!G$29</f>
        <v>0.12543340193971125</v>
      </c>
      <c r="H22" s="62">
        <f>A2.6.4!H22/A2.6.4!H$29</f>
        <v>0.10675133419741459</v>
      </c>
      <c r="I22" s="58">
        <f>A2.6.4!I22/A2.6.4!I$29</f>
        <v>0.12912540454763852</v>
      </c>
      <c r="J22" s="62">
        <f>A2.6.4!J22/A2.6.4!J$29</f>
        <v>9.1032579177656017E-2</v>
      </c>
      <c r="K22" s="59">
        <f>A2.6.4!K22/A2.6.4!K$29</f>
        <v>0.10447916557558873</v>
      </c>
    </row>
    <row r="23" spans="1:11" s="1" customFormat="1" ht="13.35" customHeight="1">
      <c r="A23" s="26"/>
      <c r="B23" s="27" t="s">
        <v>38</v>
      </c>
      <c r="C23" s="27" t="s">
        <v>62</v>
      </c>
      <c r="D23" s="62">
        <f>A2.6.4!D23/A2.6.4!D$29</f>
        <v>5.0781980962994688E-2</v>
      </c>
      <c r="E23" s="58">
        <f>A2.6.4!E23/A2.6.4!E$29</f>
        <v>7.660037394893647E-2</v>
      </c>
      <c r="F23" s="62">
        <f>A2.6.4!F23/A2.6.4!F$29</f>
        <v>5.7151459091368255E-2</v>
      </c>
      <c r="G23" s="58">
        <f>A2.6.4!G23/A2.6.4!G$29</f>
        <v>8.0843939498517065E-2</v>
      </c>
      <c r="H23" s="62">
        <f>A2.6.4!H23/A2.6.4!H$29</f>
        <v>5.8460174038813206E-2</v>
      </c>
      <c r="I23" s="58">
        <f>A2.6.4!I23/A2.6.4!I$29</f>
        <v>8.441179390655483E-2</v>
      </c>
      <c r="J23" s="62">
        <f>A2.6.4!J23/A2.6.4!J$29</f>
        <v>4.6519724350089289E-2</v>
      </c>
      <c r="K23" s="59">
        <f>A2.6.4!K23/A2.6.4!K$29</f>
        <v>6.1454219283421478E-2</v>
      </c>
    </row>
    <row r="24" spans="1:11" s="1" customFormat="1" ht="13.35" customHeight="1">
      <c r="A24" s="26"/>
      <c r="B24" s="27" t="s">
        <v>39</v>
      </c>
      <c r="C24" s="27" t="s">
        <v>63</v>
      </c>
      <c r="D24" s="62">
        <f>A2.6.4!D24/A2.6.4!D$29</f>
        <v>5.3407989886850825E-2</v>
      </c>
      <c r="E24" s="58">
        <f>A2.6.4!E24/A2.6.4!E$29</f>
        <v>9.4785619940862861E-2</v>
      </c>
      <c r="F24" s="62">
        <f>A2.6.4!F24/A2.6.4!F$29</f>
        <v>6.1584292162917512E-2</v>
      </c>
      <c r="G24" s="58">
        <f>A2.6.4!G24/A2.6.4!G$29</f>
        <v>0.10445407020550795</v>
      </c>
      <c r="H24" s="62">
        <f>A2.6.4!H24/A2.6.4!H$29</f>
        <v>6.3408437950366089E-2</v>
      </c>
      <c r="I24" s="58">
        <f>A2.6.4!I24/A2.6.4!I$29</f>
        <v>0.11161338440054366</v>
      </c>
      <c r="J24" s="62">
        <f>A2.6.4!J24/A2.6.4!J$29</f>
        <v>4.8280555471068493E-2</v>
      </c>
      <c r="K24" s="59">
        <f>A2.6.4!K24/A2.6.4!K$29</f>
        <v>7.2793787321399558E-2</v>
      </c>
    </row>
    <row r="25" spans="1:11" s="1" customFormat="1" ht="13.35" customHeight="1">
      <c r="A25" s="26"/>
      <c r="B25" s="27" t="s">
        <v>40</v>
      </c>
      <c r="C25" s="27" t="s">
        <v>64</v>
      </c>
      <c r="D25" s="62">
        <f>A2.6.4!D25/A2.6.4!D$29</f>
        <v>1.8974629801354795E-2</v>
      </c>
      <c r="E25" s="58">
        <f>A2.6.4!E25/A2.6.4!E$29</f>
        <v>3.9813796496129275E-2</v>
      </c>
      <c r="F25" s="62">
        <f>A2.6.4!F25/A2.6.4!F$29</f>
        <v>2.1893798193194671E-2</v>
      </c>
      <c r="G25" s="58">
        <f>A2.6.4!G25/A2.6.4!G$29</f>
        <v>4.543749944107963E-2</v>
      </c>
      <c r="H25" s="62">
        <f>A2.6.4!H25/A2.6.4!H$29</f>
        <v>2.1987449064274592E-2</v>
      </c>
      <c r="I25" s="58">
        <f>A2.6.4!I25/A2.6.4!I$29</f>
        <v>4.8835463967417482E-2</v>
      </c>
      <c r="J25" s="62">
        <f>A2.6.4!J25/A2.6.4!J$29</f>
        <v>1.5589492802426275E-2</v>
      </c>
      <c r="K25" s="59">
        <f>A2.6.4!K25/A2.6.4!K$29</f>
        <v>2.8229454885180486E-2</v>
      </c>
    </row>
    <row r="26" spans="1:11" s="1" customFormat="1" ht="13.35" customHeight="1">
      <c r="A26" s="26"/>
      <c r="B26" s="27" t="s">
        <v>41</v>
      </c>
      <c r="C26" s="27" t="s">
        <v>65</v>
      </c>
      <c r="D26" s="62">
        <f>A2.6.4!D26/A2.6.4!D$29</f>
        <v>1.8929927353323991E-2</v>
      </c>
      <c r="E26" s="58">
        <f>A2.6.4!E26/A2.6.4!E$29</f>
        <v>4.4884780264111426E-2</v>
      </c>
      <c r="F26" s="62">
        <f>A2.6.4!F26/A2.6.4!F$29</f>
        <v>2.1365938490974887E-2</v>
      </c>
      <c r="G26" s="58">
        <f>A2.6.4!G26/A2.6.4!G$29</f>
        <v>5.3672270318840073E-2</v>
      </c>
      <c r="H26" s="62">
        <f>A2.6.4!H26/A2.6.4!H$29</f>
        <v>2.0416768978446662E-2</v>
      </c>
      <c r="I26" s="58">
        <f>A2.6.4!I26/A2.6.4!I$29</f>
        <v>5.4629425003909111E-2</v>
      </c>
      <c r="J26" s="62">
        <f>A2.6.4!J26/A2.6.4!J$29</f>
        <v>1.426099406031797E-2</v>
      </c>
      <c r="K26" s="59">
        <f>A2.6.4!K26/A2.6.4!K$29</f>
        <v>2.9837350058896199E-2</v>
      </c>
    </row>
    <row r="27" spans="1:11" s="1" customFormat="1" ht="13.35" customHeight="1">
      <c r="A27" s="26"/>
      <c r="B27" s="27" t="s">
        <v>42</v>
      </c>
      <c r="C27" s="27" t="s">
        <v>66</v>
      </c>
      <c r="D27" s="62">
        <f>A2.6.4!D27/A2.6.4!D$29</f>
        <v>5.6720129408389091E-3</v>
      </c>
      <c r="E27" s="58">
        <f>A2.6.4!E27/A2.6.4!E$29</f>
        <v>1.561968648857324E-2</v>
      </c>
      <c r="F27" s="62">
        <f>A2.6.4!F27/A2.6.4!F$29</f>
        <v>5.9857111448712438E-3</v>
      </c>
      <c r="G27" s="58">
        <f>A2.6.4!G27/A2.6.4!G$29</f>
        <v>1.7481907465660775E-2</v>
      </c>
      <c r="H27" s="62">
        <f>A2.6.4!H27/A2.6.4!H$29</f>
        <v>5.6434659812036421E-3</v>
      </c>
      <c r="I27" s="58">
        <f>A2.6.4!I27/A2.6.4!I$29</f>
        <v>1.7993445515279313E-2</v>
      </c>
      <c r="J27" s="62">
        <f>A2.6.4!J27/A2.6.4!J$29</f>
        <v>3.893163934354999E-3</v>
      </c>
      <c r="K27" s="59">
        <f>A2.6.4!K27/A2.6.4!K$29</f>
        <v>9.5307739545082235E-3</v>
      </c>
    </row>
    <row r="28" spans="1:11" s="1" customFormat="1" ht="13.35" customHeight="1">
      <c r="A28" s="26"/>
      <c r="B28" s="27" t="s">
        <v>43</v>
      </c>
      <c r="C28" s="27" t="s">
        <v>67</v>
      </c>
      <c r="D28" s="62">
        <f>A2.6.4!D28/A2.6.4!D$29</f>
        <v>1.2974105847080202E-3</v>
      </c>
      <c r="E28" s="58">
        <f>A2.6.4!E28/A2.6.4!E$29</f>
        <v>4.139365254657067E-3</v>
      </c>
      <c r="F28" s="62">
        <f>A2.6.4!F28/A2.6.4!F$29</f>
        <v>1.1577260635927339E-3</v>
      </c>
      <c r="G28" s="58">
        <f>A2.6.4!G28/A2.6.4!G$29</f>
        <v>3.5441070378483927E-3</v>
      </c>
      <c r="H28" s="62">
        <f>A2.6.4!H28/A2.6.4!H$29</f>
        <v>9.5629137151660769E-4</v>
      </c>
      <c r="I28" s="58">
        <f>A2.6.4!I28/A2.6.4!I$29</f>
        <v>3.1909613931714745E-3</v>
      </c>
      <c r="J28" s="62">
        <f>A2.6.4!J28/A2.6.4!J$29</f>
        <v>6.4035160136782147E-4</v>
      </c>
      <c r="K28" s="59">
        <f>A2.6.4!K28/A2.6.4!K$29</f>
        <v>1.6719197535944627E-3</v>
      </c>
    </row>
    <row r="29" spans="1:11" s="1" customFormat="1" ht="13.35" customHeight="1">
      <c r="A29" s="88"/>
      <c r="B29" s="75" t="s">
        <v>9</v>
      </c>
      <c r="C29" s="89"/>
      <c r="D29" s="63">
        <f>A2.6.4!D29/A2.6.4!D$29</f>
        <v>1</v>
      </c>
      <c r="E29" s="60">
        <f>A2.6.4!E29/A2.6.4!E$29</f>
        <v>1</v>
      </c>
      <c r="F29" s="63">
        <f>A2.6.4!F29/A2.6.4!F$29</f>
        <v>1</v>
      </c>
      <c r="G29" s="60">
        <f>A2.6.4!G29/A2.6.4!G$29</f>
        <v>1</v>
      </c>
      <c r="H29" s="63">
        <f>A2.6.4!H29/A2.6.4!H$29</f>
        <v>1</v>
      </c>
      <c r="I29" s="60">
        <f>A2.6.4!I29/A2.6.4!I$29</f>
        <v>1</v>
      </c>
      <c r="J29" s="63">
        <f>A2.6.4!J29/A2.6.4!J$29</f>
        <v>1</v>
      </c>
      <c r="K29" s="61">
        <f>A2.6.4!K29/A2.6.4!K$29</f>
        <v>1</v>
      </c>
    </row>
    <row r="30" spans="1:11" s="1" customFormat="1" ht="13.35" customHeight="1"/>
    <row r="31" spans="1:11">
      <c r="F31" s="560" t="s">
        <v>506</v>
      </c>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sheetPr codeName="Sheet64" enableFormatConditionsCalculation="0">
    <pageSetUpPr fitToPage="1"/>
  </sheetPr>
  <dimension ref="A1:K73"/>
  <sheetViews>
    <sheetView showGridLines="0" zoomScaleNormal="100" zoomScaleSheetLayoutView="90" workbookViewId="0"/>
  </sheetViews>
  <sheetFormatPr defaultColWidth="9.140625" defaultRowHeight="12.75"/>
  <cols>
    <col min="1" max="1" width="0.85546875" customWidth="1"/>
    <col min="2" max="2" width="4.28515625" style="2" customWidth="1"/>
    <col min="3" max="3" width="29.7109375" style="2" customWidth="1"/>
    <col min="4" max="5" width="10.7109375" style="2" customWidth="1"/>
    <col min="6" max="7" width="10.7109375" style="14" customWidth="1"/>
    <col min="8" max="11" width="10.7109375" style="6" customWidth="1"/>
    <col min="12" max="16384" width="9.140625" style="10"/>
  </cols>
  <sheetData>
    <row r="1" spans="1:11" s="8" customFormat="1" ht="15" customHeight="1">
      <c r="A1" s="455" t="s">
        <v>435</v>
      </c>
      <c r="B1" s="455"/>
      <c r="C1" s="455"/>
      <c r="D1" s="564"/>
      <c r="E1" s="564"/>
      <c r="F1" s="565"/>
      <c r="G1" s="66"/>
      <c r="H1" s="4"/>
      <c r="I1" s="4"/>
      <c r="J1" s="4"/>
      <c r="K1" s="4"/>
    </row>
    <row r="2" spans="1:11" s="8" customFormat="1" ht="15" customHeight="1">
      <c r="A2" s="90"/>
      <c r="B2" s="91" t="s">
        <v>183</v>
      </c>
      <c r="C2" s="92"/>
      <c r="D2" s="84" t="s">
        <v>467</v>
      </c>
      <c r="E2" s="67"/>
      <c r="F2" s="65" t="s">
        <v>468</v>
      </c>
      <c r="G2" s="67"/>
      <c r="H2" s="65" t="s">
        <v>469</v>
      </c>
      <c r="I2" s="67"/>
      <c r="J2" s="708" t="s">
        <v>470</v>
      </c>
      <c r="K2" s="709"/>
    </row>
    <row r="3" spans="1:11" ht="33.75">
      <c r="A3" s="203"/>
      <c r="B3" s="204" t="s">
        <v>96</v>
      </c>
      <c r="C3" s="206"/>
      <c r="D3" s="180" t="s">
        <v>18</v>
      </c>
      <c r="E3" s="181" t="s">
        <v>94</v>
      </c>
      <c r="F3" s="180" t="s">
        <v>18</v>
      </c>
      <c r="G3" s="181" t="s">
        <v>94</v>
      </c>
      <c r="H3" s="180" t="s">
        <v>18</v>
      </c>
      <c r="I3" s="181" t="s">
        <v>94</v>
      </c>
      <c r="J3" s="180" t="s">
        <v>18</v>
      </c>
      <c r="K3" s="182" t="s">
        <v>94</v>
      </c>
    </row>
    <row r="4" spans="1:11" ht="13.35" customHeight="1">
      <c r="A4" s="49"/>
      <c r="B4" s="116">
        <v>4001</v>
      </c>
      <c r="C4" s="16" t="s">
        <v>79</v>
      </c>
      <c r="D4" s="19">
        <v>1689777</v>
      </c>
      <c r="E4" s="139">
        <v>16744.180936000001</v>
      </c>
      <c r="F4" s="19">
        <v>1826346</v>
      </c>
      <c r="G4" s="139">
        <v>19815.810668999999</v>
      </c>
      <c r="H4" s="19">
        <v>1907585</v>
      </c>
      <c r="I4" s="139">
        <v>22532.708804000002</v>
      </c>
      <c r="J4" s="19">
        <v>1900789</v>
      </c>
      <c r="K4" s="141">
        <v>24225.105665999999</v>
      </c>
    </row>
    <row r="5" spans="1:11" ht="13.35" customHeight="1">
      <c r="A5" s="49"/>
      <c r="B5" s="116">
        <v>4003</v>
      </c>
      <c r="C5" s="16" t="s">
        <v>77</v>
      </c>
      <c r="D5" s="19">
        <v>1191</v>
      </c>
      <c r="E5" s="139">
        <v>7.5341899999999997</v>
      </c>
      <c r="F5" s="19">
        <v>209</v>
      </c>
      <c r="G5" s="139">
        <v>1.603227</v>
      </c>
      <c r="H5" s="19">
        <v>153</v>
      </c>
      <c r="I5" s="139">
        <v>1.300346</v>
      </c>
      <c r="J5" s="19">
        <v>68</v>
      </c>
      <c r="K5" s="24">
        <v>0.32845800000000003</v>
      </c>
    </row>
    <row r="6" spans="1:11" ht="13.35" customHeight="1">
      <c r="A6" s="49"/>
      <c r="B6" s="116">
        <v>4006</v>
      </c>
      <c r="C6" s="16" t="s">
        <v>78</v>
      </c>
      <c r="D6" s="19">
        <v>1202502</v>
      </c>
      <c r="E6" s="139">
        <v>9347.3776539999999</v>
      </c>
      <c r="F6" s="19">
        <v>1255221</v>
      </c>
      <c r="G6" s="139">
        <v>10342.802408</v>
      </c>
      <c r="H6" s="19">
        <v>1259588</v>
      </c>
      <c r="I6" s="139">
        <v>10949.907080999999</v>
      </c>
      <c r="J6" s="19">
        <v>1261103</v>
      </c>
      <c r="K6" s="24">
        <v>12084.504411</v>
      </c>
    </row>
    <row r="7" spans="1:11" ht="13.35" customHeight="1">
      <c r="A7" s="49"/>
      <c r="B7" s="116">
        <v>4007</v>
      </c>
      <c r="C7" s="16" t="s">
        <v>80</v>
      </c>
      <c r="D7" s="19">
        <v>15326</v>
      </c>
      <c r="E7" s="139">
        <v>43.538904000000002</v>
      </c>
      <c r="F7" s="19">
        <v>19425</v>
      </c>
      <c r="G7" s="139">
        <v>29.593582000000001</v>
      </c>
      <c r="H7" s="19">
        <v>23420</v>
      </c>
      <c r="I7" s="139">
        <v>32.464832000000001</v>
      </c>
      <c r="J7" s="19">
        <v>26324</v>
      </c>
      <c r="K7" s="24">
        <v>34.375157000000002</v>
      </c>
    </row>
    <row r="8" spans="1:11" ht="13.35" customHeight="1">
      <c r="A8" s="49"/>
      <c r="B8" s="116">
        <v>4008</v>
      </c>
      <c r="C8" s="16" t="s">
        <v>81</v>
      </c>
      <c r="D8" s="19">
        <v>1962944</v>
      </c>
      <c r="E8" s="139">
        <v>19476.031047</v>
      </c>
      <c r="F8" s="19">
        <v>2132234</v>
      </c>
      <c r="G8" s="139">
        <v>22746.106592</v>
      </c>
      <c r="H8" s="19">
        <v>2192976</v>
      </c>
      <c r="I8" s="139">
        <v>29244.782558999999</v>
      </c>
      <c r="J8" s="19">
        <v>2657576</v>
      </c>
      <c r="K8" s="24">
        <v>52662.218226999998</v>
      </c>
    </row>
    <row r="9" spans="1:11" s="1" customFormat="1" ht="13.35" customHeight="1">
      <c r="A9" s="26"/>
      <c r="B9" s="116">
        <v>4009</v>
      </c>
      <c r="C9" s="16" t="s">
        <v>150</v>
      </c>
      <c r="D9" s="19">
        <v>27367</v>
      </c>
      <c r="E9" s="139">
        <v>1140.668439</v>
      </c>
      <c r="F9" s="19">
        <v>30148</v>
      </c>
      <c r="G9" s="139">
        <v>1111.385385</v>
      </c>
      <c r="H9" s="19">
        <v>27699</v>
      </c>
      <c r="I9" s="139">
        <v>1153.7860889999999</v>
      </c>
      <c r="J9" s="19">
        <v>27944</v>
      </c>
      <c r="K9" s="24">
        <v>1506.2085529999999</v>
      </c>
    </row>
    <row r="10" spans="1:11" s="1" customFormat="1" ht="13.35" customHeight="1">
      <c r="A10" s="26"/>
      <c r="B10" s="116">
        <v>4011</v>
      </c>
      <c r="C10" s="16" t="s">
        <v>82</v>
      </c>
      <c r="D10" s="19">
        <v>42092</v>
      </c>
      <c r="E10" s="139">
        <v>234.539545</v>
      </c>
      <c r="F10" s="19">
        <v>50004</v>
      </c>
      <c r="G10" s="139">
        <v>313.14046100000002</v>
      </c>
      <c r="H10" s="19">
        <v>49926</v>
      </c>
      <c r="I10" s="139">
        <v>320.09978999999998</v>
      </c>
      <c r="J10" s="19">
        <v>46512</v>
      </c>
      <c r="K10" s="24">
        <v>351.11714499999999</v>
      </c>
    </row>
    <row r="11" spans="1:11" s="51" customFormat="1" ht="22.5">
      <c r="A11" s="26"/>
      <c r="B11" s="167">
        <v>4014</v>
      </c>
      <c r="C11" s="183" t="s">
        <v>186</v>
      </c>
      <c r="D11" s="19">
        <v>509559</v>
      </c>
      <c r="E11" s="139">
        <v>19067.098633000001</v>
      </c>
      <c r="F11" s="19">
        <v>524219</v>
      </c>
      <c r="G11" s="139">
        <v>21856.787558</v>
      </c>
      <c r="H11" s="19">
        <v>481629</v>
      </c>
      <c r="I11" s="139">
        <v>21077.866145</v>
      </c>
      <c r="J11" s="19">
        <v>366106</v>
      </c>
      <c r="K11" s="24">
        <v>17350.250725000002</v>
      </c>
    </row>
    <row r="12" spans="1:11" ht="13.35" customHeight="1">
      <c r="A12" s="26"/>
      <c r="B12" s="116">
        <v>4015</v>
      </c>
      <c r="C12" s="16" t="s">
        <v>187</v>
      </c>
      <c r="D12" s="19">
        <v>34117</v>
      </c>
      <c r="E12" s="139">
        <v>1035.6368749999999</v>
      </c>
      <c r="F12" s="19">
        <v>36933</v>
      </c>
      <c r="G12" s="139">
        <v>1124.0049859999999</v>
      </c>
      <c r="H12" s="19">
        <v>35078</v>
      </c>
      <c r="I12" s="139">
        <v>1054.9733040000001</v>
      </c>
      <c r="J12" s="19">
        <v>35084</v>
      </c>
      <c r="K12" s="24">
        <v>1106.0726320000001</v>
      </c>
    </row>
    <row r="13" spans="1:11" ht="13.35" customHeight="1">
      <c r="A13" s="26"/>
      <c r="B13" s="116">
        <v>4016</v>
      </c>
      <c r="C13" s="16" t="s">
        <v>5</v>
      </c>
      <c r="D13" s="19">
        <v>123728</v>
      </c>
      <c r="E13" s="139">
        <v>4978.0039900000002</v>
      </c>
      <c r="F13" s="19">
        <v>130719</v>
      </c>
      <c r="G13" s="139">
        <v>5144.4956000000002</v>
      </c>
      <c r="H13" s="19">
        <v>114285</v>
      </c>
      <c r="I13" s="139">
        <v>4559.8829260000002</v>
      </c>
      <c r="J13" s="19">
        <v>45036</v>
      </c>
      <c r="K13" s="24">
        <v>2743.5687840000001</v>
      </c>
    </row>
    <row r="14" spans="1:11" ht="13.35" customHeight="1">
      <c r="A14" s="26"/>
      <c r="B14" s="135">
        <v>4017</v>
      </c>
      <c r="C14" s="87" t="s">
        <v>149</v>
      </c>
      <c r="D14" s="19">
        <v>7081</v>
      </c>
      <c r="E14" s="139">
        <v>67.534474000000003</v>
      </c>
      <c r="F14" s="19">
        <v>7577</v>
      </c>
      <c r="G14" s="139">
        <v>72.806077000000002</v>
      </c>
      <c r="H14" s="19">
        <v>6471</v>
      </c>
      <c r="I14" s="139">
        <v>62.729087999999997</v>
      </c>
      <c r="J14" s="19">
        <v>5509</v>
      </c>
      <c r="K14" s="24">
        <v>54.510618000000001</v>
      </c>
    </row>
    <row r="15" spans="1:11" ht="13.35" customHeight="1">
      <c r="A15" s="26"/>
      <c r="B15" s="135">
        <v>4018</v>
      </c>
      <c r="C15" s="27" t="s">
        <v>255</v>
      </c>
      <c r="D15" s="19">
        <v>68057</v>
      </c>
      <c r="E15" s="139">
        <v>337.38471700000002</v>
      </c>
      <c r="F15" s="19">
        <v>83598</v>
      </c>
      <c r="G15" s="139">
        <v>423.31136900000001</v>
      </c>
      <c r="H15" s="19">
        <v>100939</v>
      </c>
      <c r="I15" s="139">
        <v>542.25274300000001</v>
      </c>
      <c r="J15" s="19">
        <v>113464</v>
      </c>
      <c r="K15" s="24">
        <v>640.20525399999997</v>
      </c>
    </row>
    <row r="16" spans="1:11" ht="13.35" customHeight="1">
      <c r="A16" s="26"/>
      <c r="B16" s="135">
        <v>4027</v>
      </c>
      <c r="C16" s="87" t="s">
        <v>190</v>
      </c>
      <c r="D16" s="19">
        <v>23783</v>
      </c>
      <c r="E16" s="139">
        <v>215.12139199999999</v>
      </c>
      <c r="F16" s="19">
        <v>27358</v>
      </c>
      <c r="G16" s="139">
        <v>259.26604400000002</v>
      </c>
      <c r="H16" s="19">
        <v>24263</v>
      </c>
      <c r="I16" s="139">
        <v>237.74859900000001</v>
      </c>
      <c r="J16" s="19">
        <v>20396</v>
      </c>
      <c r="K16" s="24">
        <v>219.029819</v>
      </c>
    </row>
    <row r="17" spans="1:11" ht="13.35" customHeight="1">
      <c r="A17" s="26"/>
      <c r="B17" s="135">
        <v>4028</v>
      </c>
      <c r="C17" s="87" t="s">
        <v>256</v>
      </c>
      <c r="D17" s="19">
        <v>23573</v>
      </c>
      <c r="E17" s="139">
        <v>389.55180899999999</v>
      </c>
      <c r="F17" s="19">
        <v>28284</v>
      </c>
      <c r="G17" s="139">
        <v>461.6</v>
      </c>
      <c r="H17" s="19">
        <v>27482</v>
      </c>
      <c r="I17" s="139">
        <v>447.96827400000001</v>
      </c>
      <c r="J17" s="19">
        <v>32778</v>
      </c>
      <c r="K17" s="24">
        <v>659.62505199999998</v>
      </c>
    </row>
    <row r="18" spans="1:11" ht="13.35" customHeight="1">
      <c r="A18" s="26"/>
      <c r="B18" s="135"/>
      <c r="C18" s="247" t="s">
        <v>99</v>
      </c>
      <c r="D18" s="19">
        <f t="shared" ref="D18:K18" si="0">D51</f>
        <v>58054</v>
      </c>
      <c r="E18" s="139">
        <f t="shared" si="0"/>
        <v>282.57323899999994</v>
      </c>
      <c r="F18" s="19">
        <f t="shared" si="0"/>
        <v>69310</v>
      </c>
      <c r="G18" s="139">
        <f t="shared" si="0"/>
        <v>798.61392399999988</v>
      </c>
      <c r="H18" s="19">
        <f t="shared" si="0"/>
        <v>75363</v>
      </c>
      <c r="I18" s="139">
        <f t="shared" si="0"/>
        <v>1070.374382</v>
      </c>
      <c r="J18" s="19">
        <f t="shared" si="0"/>
        <v>90455</v>
      </c>
      <c r="K18" s="24">
        <f t="shared" si="0"/>
        <v>1330.8938230000001</v>
      </c>
    </row>
    <row r="19" spans="1:11" ht="13.35" customHeight="1">
      <c r="A19" s="103"/>
      <c r="B19" s="104" t="s">
        <v>9</v>
      </c>
      <c r="C19" s="105"/>
      <c r="D19" s="202"/>
      <c r="E19" s="140">
        <f>SUM(E4:E18)</f>
        <v>73366.775844000003</v>
      </c>
      <c r="F19" s="202"/>
      <c r="G19" s="140">
        <f>SUM(G4:G18)</f>
        <v>84501.327882000012</v>
      </c>
      <c r="H19" s="202"/>
      <c r="I19" s="140">
        <f>SUM(I4:I18)</f>
        <v>93288.844962000003</v>
      </c>
      <c r="J19" s="202"/>
      <c r="K19" s="113">
        <f>SUM(K4:K18)</f>
        <v>114968.01432400002</v>
      </c>
    </row>
    <row r="20" spans="1:11" ht="13.35" customHeight="1">
      <c r="A20" s="100"/>
      <c r="B20" s="101" t="s">
        <v>92</v>
      </c>
      <c r="C20" s="102"/>
      <c r="D20" s="108"/>
      <c r="E20" s="137"/>
      <c r="F20" s="109"/>
      <c r="G20" s="137"/>
      <c r="H20" s="109"/>
      <c r="I20" s="109"/>
      <c r="J20" s="108"/>
      <c r="K20" s="110"/>
    </row>
    <row r="21" spans="1:11" ht="13.35" customHeight="1">
      <c r="A21" s="49"/>
      <c r="B21" s="116">
        <v>4001</v>
      </c>
      <c r="C21" s="16" t="s">
        <v>79</v>
      </c>
      <c r="D21" s="62"/>
      <c r="E21" s="138">
        <f>A2.7.1!E4/A2.7.1!E$19</f>
        <v>0.22822566132118444</v>
      </c>
      <c r="F21" s="62"/>
      <c r="G21" s="138">
        <f>A2.7.1!G4/A2.7.1!G$19</f>
        <v>0.23450295002075403</v>
      </c>
      <c r="H21" s="62"/>
      <c r="I21" s="138">
        <f>A2.7.1!I4/A2.7.1!I$19</f>
        <v>0.24153701134555164</v>
      </c>
      <c r="J21" s="62"/>
      <c r="K21" s="59">
        <f>A2.7.1!K4/A2.7.1!K$19</f>
        <v>0.21071169932299086</v>
      </c>
    </row>
    <row r="22" spans="1:11" ht="13.35" customHeight="1">
      <c r="A22" s="49"/>
      <c r="B22" s="116">
        <v>4003</v>
      </c>
      <c r="C22" s="16" t="s">
        <v>77</v>
      </c>
      <c r="D22" s="62"/>
      <c r="E22" s="138">
        <f>A2.7.1!E5/A2.7.1!E$19</f>
        <v>1.0269212342136952E-4</v>
      </c>
      <c r="F22" s="62"/>
      <c r="G22" s="138">
        <f>A2.7.1!G5/A2.7.1!G$19</f>
        <v>1.8972802442096417E-5</v>
      </c>
      <c r="H22" s="62"/>
      <c r="I22" s="138">
        <f>A2.7.1!I5/A2.7.1!I$19</f>
        <v>1.3938922713960913E-5</v>
      </c>
      <c r="J22" s="62"/>
      <c r="K22" s="59">
        <f>A2.7.1!K5/A2.7.1!K$19</f>
        <v>2.8569511435967557E-6</v>
      </c>
    </row>
    <row r="23" spans="1:11" ht="13.35" customHeight="1">
      <c r="A23" s="49"/>
      <c r="B23" s="116">
        <v>4006</v>
      </c>
      <c r="C23" s="16" t="s">
        <v>78</v>
      </c>
      <c r="D23" s="62"/>
      <c r="E23" s="138">
        <f>A2.7.1!E6/A2.7.1!E$19</f>
        <v>0.12740613917497692</v>
      </c>
      <c r="F23" s="62"/>
      <c r="G23" s="138">
        <f>A2.7.1!G6/A2.7.1!G$19</f>
        <v>0.12239810506224204</v>
      </c>
      <c r="H23" s="62"/>
      <c r="I23" s="138">
        <f>A2.7.1!I6/A2.7.1!I$19</f>
        <v>0.11737638176847727</v>
      </c>
      <c r="J23" s="62"/>
      <c r="K23" s="59">
        <f>A2.7.1!K6/A2.7.1!K$19</f>
        <v>0.10511188248362495</v>
      </c>
    </row>
    <row r="24" spans="1:11" ht="13.35" customHeight="1">
      <c r="A24" s="49"/>
      <c r="B24" s="116">
        <v>4007</v>
      </c>
      <c r="C24" s="16" t="s">
        <v>80</v>
      </c>
      <c r="D24" s="62"/>
      <c r="E24" s="138">
        <f>A2.7.1!E7/A2.7.1!E$19</f>
        <v>5.9344169754136267E-4</v>
      </c>
      <c r="F24" s="62"/>
      <c r="G24" s="138">
        <f>A2.7.1!G7/A2.7.1!G$19</f>
        <v>3.5021440185325012E-4</v>
      </c>
      <c r="H24" s="62"/>
      <c r="I24" s="138">
        <f>A2.7.1!I7/A2.7.1!I$19</f>
        <v>3.4800336538869282E-4</v>
      </c>
      <c r="J24" s="62"/>
      <c r="K24" s="59">
        <f>A2.7.1!K7/A2.7.1!K$19</f>
        <v>2.9899757077759718E-4</v>
      </c>
    </row>
    <row r="25" spans="1:11" ht="13.35" customHeight="1">
      <c r="A25" s="49"/>
      <c r="B25" s="116">
        <v>4008</v>
      </c>
      <c r="C25" s="16" t="s">
        <v>81</v>
      </c>
      <c r="D25" s="62"/>
      <c r="E25" s="138">
        <f>A2.7.1!E8/A2.7.1!E$19</f>
        <v>0.2654611821625083</v>
      </c>
      <c r="F25" s="62"/>
      <c r="G25" s="138">
        <f>A2.7.1!G8/A2.7.1!G$19</f>
        <v>0.26918046333855594</v>
      </c>
      <c r="H25" s="62"/>
      <c r="I25" s="138">
        <f>A2.7.1!I8/A2.7.1!I$19</f>
        <v>0.3134863827600447</v>
      </c>
      <c r="J25" s="62"/>
      <c r="K25" s="59">
        <f>A2.7.1!K8/A2.7.1!K$19</f>
        <v>0.4580597354546686</v>
      </c>
    </row>
    <row r="26" spans="1:11" ht="13.35" customHeight="1">
      <c r="A26" s="26"/>
      <c r="B26" s="116">
        <v>4009</v>
      </c>
      <c r="C26" s="16" t="s">
        <v>150</v>
      </c>
      <c r="D26" s="62"/>
      <c r="E26" s="138">
        <f>A2.7.1!E9/A2.7.1!E$19</f>
        <v>1.5547479439813558E-2</v>
      </c>
      <c r="F26" s="62"/>
      <c r="G26" s="138">
        <f>A2.7.1!G9/A2.7.1!G$19</f>
        <v>1.315228308071051E-2</v>
      </c>
      <c r="H26" s="62"/>
      <c r="I26" s="138">
        <f>A2.7.1!I9/A2.7.1!I$19</f>
        <v>1.2367889102603636E-2</v>
      </c>
      <c r="J26" s="62"/>
      <c r="K26" s="59">
        <f>A2.7.1!K9/A2.7.1!K$19</f>
        <v>1.3101109572574161E-2</v>
      </c>
    </row>
    <row r="27" spans="1:11" ht="13.35" customHeight="1">
      <c r="A27" s="26"/>
      <c r="B27" s="116">
        <v>4011</v>
      </c>
      <c r="C27" s="16" t="s">
        <v>82</v>
      </c>
      <c r="D27" s="62"/>
      <c r="E27" s="138">
        <f>A2.7.1!E10/A2.7.1!E$19</f>
        <v>3.1968086685273201E-3</v>
      </c>
      <c r="F27" s="62"/>
      <c r="G27" s="138">
        <f>A2.7.1!G10/A2.7.1!G$19</f>
        <v>3.7057460379472142E-3</v>
      </c>
      <c r="H27" s="62"/>
      <c r="I27" s="138">
        <f>A2.7.1!I10/A2.7.1!I$19</f>
        <v>3.4312761630866848E-3</v>
      </c>
      <c r="J27" s="62"/>
      <c r="K27" s="59">
        <f>A2.7.1!K10/A2.7.1!K$19</f>
        <v>3.0540420052005972E-3</v>
      </c>
    </row>
    <row r="28" spans="1:11" s="51" customFormat="1" ht="22.5">
      <c r="A28" s="26"/>
      <c r="B28" s="167">
        <v>4014</v>
      </c>
      <c r="C28" s="183" t="s">
        <v>186</v>
      </c>
      <c r="D28" s="62"/>
      <c r="E28" s="138">
        <f>A2.7.1!E11/A2.7.1!E$19</f>
        <v>0.2598873729103543</v>
      </c>
      <c r="F28" s="62"/>
      <c r="G28" s="138">
        <f>A2.7.1!G11/A2.7.1!G$19</f>
        <v>0.25865614311435936</v>
      </c>
      <c r="H28" s="62"/>
      <c r="I28" s="138">
        <f>A2.7.1!I11/A2.7.1!I$19</f>
        <v>0.22594197788155482</v>
      </c>
      <c r="J28" s="62"/>
      <c r="K28" s="59">
        <f>A2.7.1!K11/A2.7.1!K$19</f>
        <v>0.15091372002045678</v>
      </c>
    </row>
    <row r="29" spans="1:11" ht="13.35" customHeight="1">
      <c r="A29" s="26"/>
      <c r="B29" s="116">
        <v>4015</v>
      </c>
      <c r="C29" s="16" t="s">
        <v>187</v>
      </c>
      <c r="D29" s="62"/>
      <c r="E29" s="138">
        <f>A2.7.1!E12/A2.7.1!E$19</f>
        <v>1.4115883696485147E-2</v>
      </c>
      <c r="F29" s="62"/>
      <c r="G29" s="138">
        <f>A2.7.1!G12/A2.7.1!G$19</f>
        <v>1.3301625124395578E-2</v>
      </c>
      <c r="H29" s="62"/>
      <c r="I29" s="138">
        <f>A2.7.1!I12/A2.7.1!I$19</f>
        <v>1.1308675806091604E-2</v>
      </c>
      <c r="J29" s="62"/>
      <c r="K29" s="59">
        <f>A2.7.1!K12/A2.7.1!K$19</f>
        <v>9.6206987526364814E-3</v>
      </c>
    </row>
    <row r="30" spans="1:11" ht="13.35" customHeight="1">
      <c r="A30" s="26"/>
      <c r="B30" s="116">
        <v>4016</v>
      </c>
      <c r="C30" s="16" t="s">
        <v>5</v>
      </c>
      <c r="D30" s="62"/>
      <c r="E30" s="138">
        <f>A2.7.1!E13/A2.7.1!E$19</f>
        <v>6.7850930243748817E-2</v>
      </c>
      <c r="F30" s="62"/>
      <c r="G30" s="138">
        <f>A2.7.1!G13/A2.7.1!G$19</f>
        <v>6.0880648019921248E-2</v>
      </c>
      <c r="H30" s="62"/>
      <c r="I30" s="138">
        <f>A2.7.1!I13/A2.7.1!I$19</f>
        <v>4.8879187301090601E-2</v>
      </c>
      <c r="J30" s="62"/>
      <c r="K30" s="59">
        <f>A2.7.1!K13/A2.7.1!K$19</f>
        <v>2.3863757238323194E-2</v>
      </c>
    </row>
    <row r="31" spans="1:11" ht="13.35" customHeight="1">
      <c r="A31" s="26"/>
      <c r="B31" s="135">
        <v>4017</v>
      </c>
      <c r="C31" s="27" t="s">
        <v>149</v>
      </c>
      <c r="D31" s="62"/>
      <c r="E31" s="138">
        <f>A2.7.1!E14/A2.7.1!E$19</f>
        <v>9.2050486372194905E-4</v>
      </c>
      <c r="F31" s="62"/>
      <c r="G31" s="138">
        <f>A2.7.1!G14/A2.7.1!G$19</f>
        <v>8.6159683906587143E-4</v>
      </c>
      <c r="H31" s="62"/>
      <c r="I31" s="138">
        <f>A2.7.1!I14/A2.7.1!I$19</f>
        <v>6.7241788689260625E-4</v>
      </c>
      <c r="J31" s="62"/>
      <c r="K31" s="59">
        <f>A2.7.1!K14/A2.7.1!K$19</f>
        <v>4.7413724869927322E-4</v>
      </c>
    </row>
    <row r="32" spans="1:11" ht="13.35" customHeight="1">
      <c r="A32" s="26"/>
      <c r="B32" s="135">
        <v>4018</v>
      </c>
      <c r="C32" s="27" t="s">
        <v>255</v>
      </c>
      <c r="D32" s="62"/>
      <c r="E32" s="138">
        <f>A2.7.1!E15/A2.7.1!E$19</f>
        <v>4.5986035656982146E-3</v>
      </c>
      <c r="F32" s="62"/>
      <c r="G32" s="138">
        <f>A2.7.1!G15/A2.7.1!G$19</f>
        <v>5.0095232774462874E-3</v>
      </c>
      <c r="H32" s="62"/>
      <c r="I32" s="138">
        <f>A2.7.1!I15/A2.7.1!I$19</f>
        <v>5.8126214685247698E-3</v>
      </c>
      <c r="J32" s="62"/>
      <c r="K32" s="59">
        <f>A2.7.1!K15/A2.7.1!K$19</f>
        <v>5.5685510249467241E-3</v>
      </c>
    </row>
    <row r="33" spans="1:11" ht="13.35" customHeight="1">
      <c r="A33" s="26"/>
      <c r="B33" s="135">
        <v>4027</v>
      </c>
      <c r="C33" s="87" t="s">
        <v>190</v>
      </c>
      <c r="D33" s="62"/>
      <c r="E33" s="138">
        <f>A2.7.1!E16/A2.7.1!E$19</f>
        <v>2.932136372701088E-3</v>
      </c>
      <c r="F33" s="62"/>
      <c r="G33" s="138">
        <f>A2.7.1!G16/A2.7.1!G$19</f>
        <v>3.0681889917995877E-3</v>
      </c>
      <c r="H33" s="62"/>
      <c r="I33" s="138">
        <f>A2.7.1!I16/A2.7.1!I$19</f>
        <v>2.5485211988297615E-3</v>
      </c>
      <c r="J33" s="62"/>
      <c r="K33" s="59">
        <f>A2.7.1!K16/A2.7.1!K$19</f>
        <v>1.9051370095228015E-3</v>
      </c>
    </row>
    <row r="34" spans="1:11" ht="13.35" customHeight="1">
      <c r="A34" s="26"/>
      <c r="B34" s="135">
        <v>4028</v>
      </c>
      <c r="C34" s="87" t="s">
        <v>256</v>
      </c>
      <c r="D34" s="62"/>
      <c r="E34" s="138">
        <f>A2.7.1!E17/A2.7.1!E$19</f>
        <v>5.3096487411182572E-3</v>
      </c>
      <c r="F34" s="62"/>
      <c r="G34" s="138">
        <f>A2.7.1!G17/A2.7.1!G$19</f>
        <v>5.4626360504605445E-3</v>
      </c>
      <c r="H34" s="62"/>
      <c r="I34" s="138">
        <f>A2.7.1!I17/A2.7.1!I$19</f>
        <v>4.8019489809577346E-3</v>
      </c>
      <c r="J34" s="62"/>
      <c r="K34" s="59">
        <f>A2.7.1!K17/A2.7.1!K$19</f>
        <v>5.7374658149792947E-3</v>
      </c>
    </row>
    <row r="35" spans="1:11" ht="13.35" customHeight="1">
      <c r="A35" s="26"/>
      <c r="B35" s="135"/>
      <c r="C35" s="247" t="s">
        <v>99</v>
      </c>
      <c r="D35" s="62"/>
      <c r="E35" s="138">
        <f>A2.7.1!E18/A2.7.1!E$19</f>
        <v>3.8515150181989226E-3</v>
      </c>
      <c r="F35" s="62"/>
      <c r="G35" s="138">
        <f>A2.7.1!G18/A2.7.1!G$19</f>
        <v>9.4509038380462661E-3</v>
      </c>
      <c r="H35" s="62"/>
      <c r="I35" s="138">
        <f>A2.7.1!I18/A2.7.1!I$19</f>
        <v>1.1473766048191539E-2</v>
      </c>
      <c r="J35" s="62"/>
      <c r="K35" s="59">
        <f>A2.7.1!K18/A2.7.1!K$19</f>
        <v>1.1576209529454932E-2</v>
      </c>
    </row>
    <row r="36" spans="1:11" ht="13.35" customHeight="1">
      <c r="A36" s="88"/>
      <c r="B36" s="75" t="s">
        <v>9</v>
      </c>
      <c r="C36" s="89"/>
      <c r="D36" s="63"/>
      <c r="E36" s="136">
        <f>SUM(E21:E35)</f>
        <v>1.0000000000000002</v>
      </c>
      <c r="F36" s="63"/>
      <c r="G36" s="136">
        <f>SUM(G21:G35)</f>
        <v>0.99999999999999967</v>
      </c>
      <c r="H36" s="63"/>
      <c r="I36" s="136">
        <f>SUM(I21:I35)</f>
        <v>1.0000000000000002</v>
      </c>
      <c r="J36" s="63"/>
      <c r="K36" s="61">
        <f>SUM(K21:K35)</f>
        <v>0.99999999999999978</v>
      </c>
    </row>
    <row r="37" spans="1:11" ht="12" customHeight="1">
      <c r="B37" s="29" t="s">
        <v>324</v>
      </c>
      <c r="C37"/>
      <c r="D37"/>
      <c r="E37"/>
      <c r="F37"/>
      <c r="G37"/>
      <c r="H37" s="1"/>
      <c r="I37"/>
      <c r="J37"/>
      <c r="K37"/>
    </row>
    <row r="38" spans="1:11" ht="13.35" customHeight="1">
      <c r="B38"/>
      <c r="C38"/>
      <c r="D38"/>
      <c r="E38"/>
      <c r="F38"/>
      <c r="G38"/>
      <c r="H38" s="1"/>
      <c r="I38"/>
      <c r="J38"/>
      <c r="K38"/>
    </row>
    <row r="39" spans="1:11" ht="13.35" customHeight="1">
      <c r="B39"/>
      <c r="C39"/>
      <c r="D39"/>
      <c r="E39"/>
      <c r="F39" s="560" t="s">
        <v>506</v>
      </c>
      <c r="G39"/>
      <c r="H39" s="1"/>
      <c r="I39"/>
      <c r="J39"/>
      <c r="K39"/>
    </row>
    <row r="40" spans="1:11" ht="13.35" customHeight="1">
      <c r="B40"/>
      <c r="C40"/>
      <c r="D40"/>
      <c r="E40"/>
      <c r="F40"/>
      <c r="G40"/>
      <c r="H40" s="1"/>
      <c r="I40"/>
      <c r="J40"/>
      <c r="K40"/>
    </row>
    <row r="41" spans="1:11" ht="13.35" customHeight="1">
      <c r="B41"/>
      <c r="C41"/>
      <c r="D41"/>
      <c r="E41"/>
      <c r="F41"/>
      <c r="G41"/>
      <c r="H41" s="1"/>
      <c r="I41"/>
      <c r="J41"/>
      <c r="K41"/>
    </row>
    <row r="42" spans="1:11" ht="13.35" customHeight="1">
      <c r="B42"/>
      <c r="C42" s="173" t="s">
        <v>182</v>
      </c>
      <c r="D42" s="174">
        <f>SUM(D4:D7)</f>
        <v>2908796</v>
      </c>
      <c r="E42" s="174">
        <f t="shared" ref="E42:K42" si="1">SUM(E4:E7)</f>
        <v>26142.631684</v>
      </c>
      <c r="F42" s="175">
        <f t="shared" si="1"/>
        <v>3101201</v>
      </c>
      <c r="G42" s="175">
        <f t="shared" si="1"/>
        <v>30189.809885999999</v>
      </c>
      <c r="H42" s="175">
        <f t="shared" si="1"/>
        <v>3190746</v>
      </c>
      <c r="I42" s="175">
        <f t="shared" si="1"/>
        <v>33516.381063000001</v>
      </c>
      <c r="J42" s="175">
        <f t="shared" si="1"/>
        <v>3188284</v>
      </c>
      <c r="K42" s="176">
        <f t="shared" si="1"/>
        <v>36344.313692000003</v>
      </c>
    </row>
    <row r="43" spans="1:11" ht="13.35" customHeight="1">
      <c r="B43"/>
      <c r="C43" s="177"/>
      <c r="D43" s="178"/>
      <c r="E43" s="178">
        <f t="shared" ref="E43:K43" si="2">SUM(E21:E24)</f>
        <v>0.35632793431712412</v>
      </c>
      <c r="F43" s="178"/>
      <c r="G43" s="178">
        <f t="shared" si="2"/>
        <v>0.35727024228729137</v>
      </c>
      <c r="H43" s="178"/>
      <c r="I43" s="178">
        <f>SUM(I21:I24)</f>
        <v>0.35927533540213158</v>
      </c>
      <c r="J43" s="178"/>
      <c r="K43" s="179">
        <f t="shared" si="2"/>
        <v>0.31612543632853701</v>
      </c>
    </row>
    <row r="44" spans="1:11" ht="13.35" customHeight="1">
      <c r="B44"/>
      <c r="C44"/>
      <c r="D44"/>
      <c r="E44"/>
      <c r="F44"/>
      <c r="G44"/>
      <c r="H44" s="1"/>
      <c r="I44"/>
      <c r="J44"/>
      <c r="K44"/>
    </row>
    <row r="45" spans="1:11" ht="13.35" customHeight="1">
      <c r="B45"/>
      <c r="C45" s="173" t="s">
        <v>191</v>
      </c>
      <c r="D45" s="184">
        <f>AVERAGE(E21,G21,I21,K21)</f>
        <v>0.22874433050262022</v>
      </c>
      <c r="E45"/>
      <c r="F45"/>
      <c r="G45"/>
      <c r="H45" s="1"/>
      <c r="I45"/>
      <c r="J45"/>
      <c r="K45"/>
    </row>
    <row r="46" spans="1:11" ht="13.35" customHeight="1">
      <c r="B46"/>
      <c r="C46" s="185" t="s">
        <v>192</v>
      </c>
      <c r="D46" s="186">
        <f>AVERAGE(E25,G25,I25,K25)</f>
        <v>0.32654694092894443</v>
      </c>
      <c r="E46"/>
      <c r="F46"/>
      <c r="G46"/>
      <c r="H46" s="1"/>
      <c r="I46"/>
      <c r="J46"/>
      <c r="K46"/>
    </row>
    <row r="47" spans="1:11" s="21" customFormat="1" ht="13.35" customHeight="1">
      <c r="A47" s="3"/>
      <c r="B47" s="17"/>
      <c r="C47" s="187" t="s">
        <v>193</v>
      </c>
      <c r="D47" s="186">
        <f>AVERAGE(E23,G23,I23,K23)</f>
        <v>0.1180731271223303</v>
      </c>
      <c r="E47"/>
      <c r="F47" s="22"/>
      <c r="G47" s="22"/>
      <c r="H47" s="22"/>
      <c r="I47" s="22"/>
      <c r="J47" s="22"/>
      <c r="K47" s="22"/>
    </row>
    <row r="48" spans="1:11" customFormat="1" ht="13.35" customHeight="1">
      <c r="B48" s="2"/>
      <c r="C48" s="177" t="s">
        <v>194</v>
      </c>
      <c r="D48" s="179">
        <f>AVERAGE(E28,G28,I28,K28)</f>
        <v>0.22384980348168129</v>
      </c>
      <c r="H48" s="1"/>
    </row>
    <row r="49" spans="2:11" customFormat="1" ht="13.35" customHeight="1">
      <c r="B49" s="2"/>
      <c r="H49" s="1"/>
    </row>
    <row r="50" spans="2:11" customFormat="1" ht="13.35" customHeight="1">
      <c r="B50" s="2"/>
      <c r="H50" s="1"/>
    </row>
    <row r="51" spans="2:11" customFormat="1" ht="13.35" customHeight="1">
      <c r="B51" s="2"/>
      <c r="C51" s="252" t="s">
        <v>5</v>
      </c>
      <c r="D51" s="305">
        <f t="shared" ref="D51:K51" si="3">SUM(D52:D72)</f>
        <v>58054</v>
      </c>
      <c r="E51" s="305">
        <f t="shared" si="3"/>
        <v>282.57323899999994</v>
      </c>
      <c r="F51" s="253">
        <f t="shared" si="3"/>
        <v>69310</v>
      </c>
      <c r="G51" s="253">
        <f t="shared" si="3"/>
        <v>798.61392399999988</v>
      </c>
      <c r="H51" s="253">
        <f t="shared" si="3"/>
        <v>75363</v>
      </c>
      <c r="I51" s="253">
        <f t="shared" si="3"/>
        <v>1070.374382</v>
      </c>
      <c r="J51" s="253">
        <f t="shared" si="3"/>
        <v>90455</v>
      </c>
      <c r="K51" s="254">
        <f t="shared" si="3"/>
        <v>1330.8938230000001</v>
      </c>
    </row>
    <row r="52" spans="2:11" customFormat="1" ht="13.35" customHeight="1">
      <c r="B52" s="2"/>
      <c r="C52" s="259" t="s">
        <v>318</v>
      </c>
      <c r="D52" s="174">
        <v>47221</v>
      </c>
      <c r="E52" s="174">
        <v>67.887090000000001</v>
      </c>
      <c r="F52" s="175">
        <v>48053</v>
      </c>
      <c r="G52" s="175">
        <v>64.750562000000002</v>
      </c>
      <c r="H52" s="175">
        <v>51661</v>
      </c>
      <c r="I52" s="175">
        <v>66.910579999999996</v>
      </c>
      <c r="J52" s="175">
        <v>51316</v>
      </c>
      <c r="K52" s="176">
        <v>71.173666999999995</v>
      </c>
    </row>
    <row r="53" spans="2:11" customFormat="1" ht="13.35" customHeight="1">
      <c r="B53" s="2"/>
      <c r="C53" s="260" t="s">
        <v>241</v>
      </c>
      <c r="D53" s="303">
        <v>20</v>
      </c>
      <c r="E53" s="303">
        <v>4.5387999999999998E-2</v>
      </c>
      <c r="F53" s="255">
        <v>0</v>
      </c>
      <c r="G53" s="255">
        <v>0</v>
      </c>
      <c r="H53" s="255">
        <v>0</v>
      </c>
      <c r="I53" s="255">
        <v>0</v>
      </c>
      <c r="J53" s="255">
        <v>0</v>
      </c>
      <c r="K53" s="256">
        <v>0</v>
      </c>
    </row>
    <row r="54" spans="2:11" customFormat="1" ht="13.35" customHeight="1">
      <c r="B54" s="2"/>
      <c r="C54" s="260" t="s">
        <v>242</v>
      </c>
      <c r="D54" s="303">
        <v>1</v>
      </c>
      <c r="E54" s="303">
        <v>8.4000000000000003E-4</v>
      </c>
      <c r="F54" s="255">
        <v>0</v>
      </c>
      <c r="G54" s="255">
        <v>0</v>
      </c>
      <c r="H54" s="255">
        <v>0</v>
      </c>
      <c r="I54" s="255">
        <v>0</v>
      </c>
      <c r="J54" s="255">
        <v>0</v>
      </c>
      <c r="K54" s="256">
        <v>0</v>
      </c>
    </row>
    <row r="55" spans="2:11" customFormat="1" ht="13.35" customHeight="1">
      <c r="B55" s="2"/>
      <c r="C55" s="260" t="s">
        <v>243</v>
      </c>
      <c r="D55" s="303">
        <v>1</v>
      </c>
      <c r="E55" s="303">
        <v>7.4999999999999993E-5</v>
      </c>
      <c r="F55" s="255">
        <v>0</v>
      </c>
      <c r="G55" s="255">
        <v>0</v>
      </c>
      <c r="H55" s="255">
        <v>1</v>
      </c>
      <c r="I55" s="255">
        <v>7.4999999999999993E-5</v>
      </c>
      <c r="J55" s="255">
        <v>0</v>
      </c>
      <c r="K55" s="256">
        <v>0</v>
      </c>
    </row>
    <row r="56" spans="2:11" customFormat="1" ht="13.35" customHeight="1">
      <c r="B56" s="2"/>
      <c r="C56" s="260" t="s">
        <v>244</v>
      </c>
      <c r="D56" s="303">
        <v>1</v>
      </c>
      <c r="E56" s="303">
        <v>2.5000000000000001E-3</v>
      </c>
      <c r="F56" s="255">
        <v>0</v>
      </c>
      <c r="G56" s="255">
        <v>0</v>
      </c>
      <c r="H56" s="255">
        <v>0</v>
      </c>
      <c r="I56" s="255">
        <v>0</v>
      </c>
      <c r="J56" s="255">
        <v>0</v>
      </c>
      <c r="K56" s="256">
        <v>0</v>
      </c>
    </row>
    <row r="57" spans="2:11" customFormat="1" ht="13.35" customHeight="1">
      <c r="B57" s="2"/>
      <c r="C57" s="260" t="s">
        <v>245</v>
      </c>
      <c r="D57" s="303">
        <v>10</v>
      </c>
      <c r="E57" s="303">
        <v>0.25340800000000002</v>
      </c>
      <c r="F57" s="255">
        <v>4</v>
      </c>
      <c r="G57" s="255">
        <v>2.1524999999999999E-2</v>
      </c>
      <c r="H57" s="255">
        <v>0</v>
      </c>
      <c r="I57" s="255">
        <v>0</v>
      </c>
      <c r="J57" s="255">
        <v>0</v>
      </c>
      <c r="K57" s="256">
        <v>0</v>
      </c>
    </row>
    <row r="58" spans="2:11" customFormat="1" ht="13.35" customHeight="1">
      <c r="B58" s="2"/>
      <c r="C58" s="260" t="s">
        <v>246</v>
      </c>
      <c r="D58" s="303">
        <v>665</v>
      </c>
      <c r="E58" s="303">
        <v>22.585946</v>
      </c>
      <c r="F58" s="255">
        <v>711</v>
      </c>
      <c r="G58" s="255">
        <v>32.956386999999999</v>
      </c>
      <c r="H58" s="255">
        <v>826</v>
      </c>
      <c r="I58" s="255">
        <v>31.431538</v>
      </c>
      <c r="J58" s="255">
        <v>830</v>
      </c>
      <c r="K58" s="256">
        <v>28.11628</v>
      </c>
    </row>
    <row r="59" spans="2:11" customFormat="1" ht="13.35" customHeight="1">
      <c r="B59" s="2"/>
      <c r="C59" s="260" t="s">
        <v>247</v>
      </c>
      <c r="D59" s="303">
        <v>8</v>
      </c>
      <c r="E59" s="303">
        <v>1.6021000000000001E-2</v>
      </c>
      <c r="F59" s="255">
        <v>0</v>
      </c>
      <c r="G59" s="255">
        <v>0</v>
      </c>
      <c r="H59" s="255">
        <v>0</v>
      </c>
      <c r="I59" s="255">
        <v>0</v>
      </c>
      <c r="J59" s="255">
        <v>0</v>
      </c>
      <c r="K59" s="256">
        <v>0</v>
      </c>
    </row>
    <row r="60" spans="2:11" customFormat="1" ht="13.35" customHeight="1">
      <c r="B60" s="2"/>
      <c r="C60" s="260" t="s">
        <v>248</v>
      </c>
      <c r="D60" s="303">
        <v>5421</v>
      </c>
      <c r="E60" s="303">
        <v>31.715937</v>
      </c>
      <c r="F60" s="255">
        <v>0</v>
      </c>
      <c r="G60" s="255">
        <v>0</v>
      </c>
      <c r="H60" s="255">
        <v>0</v>
      </c>
      <c r="I60" s="255">
        <v>0</v>
      </c>
      <c r="J60" s="255">
        <v>0</v>
      </c>
      <c r="K60" s="256">
        <v>0</v>
      </c>
    </row>
    <row r="61" spans="2:11" customFormat="1" ht="13.35" customHeight="1">
      <c r="B61" s="2"/>
      <c r="C61" s="260" t="s">
        <v>249</v>
      </c>
      <c r="D61" s="303">
        <v>71</v>
      </c>
      <c r="E61" s="303">
        <v>0.86171500000000001</v>
      </c>
      <c r="F61" s="255">
        <v>47</v>
      </c>
      <c r="G61" s="255">
        <v>0.607873</v>
      </c>
      <c r="H61" s="255">
        <v>33</v>
      </c>
      <c r="I61" s="255">
        <v>0.27967799999999998</v>
      </c>
      <c r="J61" s="255">
        <v>50</v>
      </c>
      <c r="K61" s="256">
        <v>0.400225</v>
      </c>
    </row>
    <row r="62" spans="2:11" customFormat="1" ht="13.35" customHeight="1">
      <c r="B62" s="2"/>
      <c r="C62" s="260" t="s">
        <v>319</v>
      </c>
      <c r="D62" s="303">
        <v>47</v>
      </c>
      <c r="E62" s="303">
        <v>1.5935330000000001</v>
      </c>
      <c r="F62" s="255">
        <v>61</v>
      </c>
      <c r="G62" s="255">
        <v>9.0079069999999994</v>
      </c>
      <c r="H62" s="255">
        <v>121</v>
      </c>
      <c r="I62" s="255">
        <v>43.727742999999997</v>
      </c>
      <c r="J62" s="255">
        <v>709</v>
      </c>
      <c r="K62" s="256">
        <v>42.421244000000002</v>
      </c>
    </row>
    <row r="63" spans="2:11" customFormat="1" ht="13.35" customHeight="1">
      <c r="B63" s="2"/>
      <c r="C63" s="260" t="s">
        <v>250</v>
      </c>
      <c r="D63" s="303">
        <v>1679</v>
      </c>
      <c r="E63" s="303">
        <v>141.68020999999999</v>
      </c>
      <c r="F63" s="255">
        <v>2934</v>
      </c>
      <c r="G63" s="255">
        <v>600.26986099999999</v>
      </c>
      <c r="H63" s="255">
        <v>3017</v>
      </c>
      <c r="I63" s="255">
        <v>816.24849800000004</v>
      </c>
      <c r="J63" s="255">
        <v>1485</v>
      </c>
      <c r="K63" s="256">
        <v>711.75858500000004</v>
      </c>
    </row>
    <row r="64" spans="2:11" customFormat="1" ht="13.35" customHeight="1">
      <c r="B64" s="2"/>
      <c r="C64" s="260" t="s">
        <v>251</v>
      </c>
      <c r="D64" s="303">
        <v>0</v>
      </c>
      <c r="E64" s="303">
        <v>0</v>
      </c>
      <c r="F64" s="255">
        <v>318</v>
      </c>
      <c r="G64" s="255">
        <v>31.220344999999998</v>
      </c>
      <c r="H64" s="255">
        <v>428</v>
      </c>
      <c r="I64" s="255">
        <v>28.986187000000001</v>
      </c>
      <c r="J64" s="255">
        <v>993</v>
      </c>
      <c r="K64" s="256">
        <v>48.165410999999999</v>
      </c>
    </row>
    <row r="65" spans="2:11" customFormat="1" ht="13.35" customHeight="1">
      <c r="B65" s="2"/>
      <c r="C65" s="260" t="s">
        <v>252</v>
      </c>
      <c r="D65" s="303">
        <v>2467</v>
      </c>
      <c r="E65" s="303">
        <v>4.9422969999999999</v>
      </c>
      <c r="F65" s="255">
        <v>16416</v>
      </c>
      <c r="G65" s="255">
        <v>39.865363000000002</v>
      </c>
      <c r="H65" s="255">
        <v>17956</v>
      </c>
      <c r="I65" s="255">
        <v>45.6188</v>
      </c>
      <c r="J65" s="255">
        <v>21391</v>
      </c>
      <c r="K65" s="256">
        <v>65.331097999999997</v>
      </c>
    </row>
    <row r="66" spans="2:11" customFormat="1" ht="13.35" customHeight="1">
      <c r="B66" s="2"/>
      <c r="C66" s="260" t="s">
        <v>320</v>
      </c>
      <c r="D66" s="303">
        <v>18</v>
      </c>
      <c r="E66" s="303">
        <v>0.16892399999999999</v>
      </c>
      <c r="F66" s="255">
        <v>26</v>
      </c>
      <c r="G66" s="255">
        <v>1.1529210000000001</v>
      </c>
      <c r="H66" s="255">
        <v>42</v>
      </c>
      <c r="I66" s="255">
        <v>2.2615069999999999</v>
      </c>
      <c r="J66" s="255">
        <v>815</v>
      </c>
      <c r="K66" s="256">
        <v>15.086202999999999</v>
      </c>
    </row>
    <row r="67" spans="2:11" customFormat="1" ht="13.35" customHeight="1">
      <c r="B67" s="2"/>
      <c r="C67" s="260" t="s">
        <v>321</v>
      </c>
      <c r="D67" s="303">
        <v>20</v>
      </c>
      <c r="E67" s="303">
        <v>1.0846610000000001</v>
      </c>
      <c r="F67" s="255">
        <v>22</v>
      </c>
      <c r="G67" s="255">
        <v>0.78167299999999995</v>
      </c>
      <c r="H67" s="255">
        <v>34</v>
      </c>
      <c r="I67" s="255">
        <v>0.82563200000000003</v>
      </c>
      <c r="J67" s="255">
        <v>384</v>
      </c>
      <c r="K67" s="256">
        <v>7.8308070000000001</v>
      </c>
    </row>
    <row r="68" spans="2:11" customFormat="1" ht="13.35" customHeight="1">
      <c r="B68" s="2"/>
      <c r="C68" s="260" t="s">
        <v>322</v>
      </c>
      <c r="D68" s="303">
        <v>309</v>
      </c>
      <c r="E68" s="303">
        <v>6.6400930000000002</v>
      </c>
      <c r="F68" s="255">
        <v>538</v>
      </c>
      <c r="G68" s="255">
        <v>11.97729</v>
      </c>
      <c r="H68" s="255">
        <v>923</v>
      </c>
      <c r="I68" s="255">
        <v>22.833425999999999</v>
      </c>
      <c r="J68" s="255">
        <v>10783</v>
      </c>
      <c r="K68" s="256">
        <v>274.92724700000002</v>
      </c>
    </row>
    <row r="69" spans="2:11" customFormat="1" ht="13.35" customHeight="1">
      <c r="B69" s="2"/>
      <c r="C69" s="260" t="s">
        <v>323</v>
      </c>
      <c r="D69" s="303">
        <v>91</v>
      </c>
      <c r="E69" s="303">
        <v>3.1143719999999999</v>
      </c>
      <c r="F69" s="255">
        <v>175</v>
      </c>
      <c r="G69" s="255">
        <v>6.0621039999999997</v>
      </c>
      <c r="H69" s="255">
        <v>321</v>
      </c>
      <c r="I69" s="255">
        <v>11.250718000000001</v>
      </c>
      <c r="J69" s="255">
        <v>1699</v>
      </c>
      <c r="K69" s="256">
        <v>65.683055999999993</v>
      </c>
    </row>
    <row r="70" spans="2:11" customFormat="1" ht="13.35" customHeight="1">
      <c r="B70" s="2"/>
      <c r="C70" s="260" t="s">
        <v>451</v>
      </c>
      <c r="D70" s="303">
        <v>0</v>
      </c>
      <c r="E70" s="303">
        <v>0</v>
      </c>
      <c r="F70" s="255">
        <v>0</v>
      </c>
      <c r="G70" s="255">
        <v>0</v>
      </c>
      <c r="H70" s="255">
        <v>0</v>
      </c>
      <c r="I70" s="255">
        <v>0</v>
      </c>
      <c r="J70" s="255">
        <v>0</v>
      </c>
      <c r="K70" s="256">
        <v>0</v>
      </c>
    </row>
    <row r="71" spans="2:11" customFormat="1" ht="13.35" customHeight="1">
      <c r="B71" s="2"/>
      <c r="C71" s="260" t="s">
        <v>253</v>
      </c>
      <c r="D71" s="303">
        <v>1</v>
      </c>
      <c r="E71" s="303">
        <v>-2.797E-3</v>
      </c>
      <c r="F71" s="255">
        <v>0</v>
      </c>
      <c r="G71" s="255">
        <v>0</v>
      </c>
      <c r="H71" s="255">
        <v>0</v>
      </c>
      <c r="I71" s="255">
        <v>0</v>
      </c>
      <c r="J71" s="255">
        <v>0</v>
      </c>
      <c r="K71" s="256">
        <v>0</v>
      </c>
    </row>
    <row r="72" spans="2:11" customFormat="1" ht="13.35" customHeight="1">
      <c r="B72" s="2"/>
      <c r="C72" s="261" t="s">
        <v>254</v>
      </c>
      <c r="D72" s="304">
        <v>3</v>
      </c>
      <c r="E72" s="304">
        <v>-1.6974E-2</v>
      </c>
      <c r="F72" s="257">
        <v>5</v>
      </c>
      <c r="G72" s="257">
        <v>-5.9887000000000003E-2</v>
      </c>
      <c r="H72" s="257">
        <v>0</v>
      </c>
      <c r="I72" s="257">
        <v>0</v>
      </c>
      <c r="J72" s="257">
        <v>0</v>
      </c>
      <c r="K72" s="258">
        <v>0</v>
      </c>
    </row>
    <row r="73" spans="2:11" customFormat="1" ht="13.35" customHeight="1">
      <c r="H73" s="1"/>
    </row>
  </sheetData>
  <mergeCells count="1">
    <mergeCell ref="J2:K2"/>
  </mergeCells>
  <phoneticPr fontId="7" type="noConversion"/>
  <hyperlinks>
    <hyperlink ref="F39" location="CONTENTS!A1" display="BACK TO CONTENTS"/>
  </hyperlinks>
  <pageMargins left="0.98425196850393704" right="0.98425196850393704" top="0.98425196850393704" bottom="0.98425196850393704" header="0.51181102362204722" footer="0.51181102362204722"/>
  <pageSetup paperSize="9" scale="86" orientation="landscape" r:id="rId1"/>
  <headerFooter alignWithMargins="0"/>
</worksheet>
</file>

<file path=xl/worksheets/sheet47.xml><?xml version="1.0" encoding="utf-8"?>
<worksheet xmlns="http://schemas.openxmlformats.org/spreadsheetml/2006/main" xmlns:r="http://schemas.openxmlformats.org/officeDocument/2006/relationships">
  <sheetPr codeName="Sheet34" enableFormatConditionsCalculation="0">
    <pageSetUpPr fitToPage="1"/>
  </sheetPr>
  <dimension ref="A1:K36"/>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23.7109375" style="2" customWidth="1"/>
    <col min="4" max="5" width="10.7109375" style="2" customWidth="1"/>
    <col min="6" max="6" width="10.7109375" style="14" customWidth="1"/>
    <col min="7" max="11" width="10.7109375" style="6" customWidth="1"/>
    <col min="12" max="16384" width="9.140625" style="10"/>
  </cols>
  <sheetData>
    <row r="1" spans="1:11" s="8" customFormat="1" ht="15" customHeight="1">
      <c r="A1" s="465" t="s">
        <v>440</v>
      </c>
      <c r="B1" s="465"/>
      <c r="C1" s="465"/>
      <c r="D1" s="465"/>
      <c r="E1" s="465"/>
      <c r="F1" s="465"/>
      <c r="G1" s="465"/>
      <c r="H1" s="465"/>
      <c r="I1" s="465"/>
      <c r="J1" s="465"/>
      <c r="K1" s="465"/>
    </row>
    <row r="2" spans="1:11" s="8" customFormat="1" ht="15" customHeight="1">
      <c r="A2" s="90"/>
      <c r="B2" s="91" t="s">
        <v>183</v>
      </c>
      <c r="C2" s="92"/>
      <c r="D2" s="84" t="s">
        <v>467</v>
      </c>
      <c r="E2" s="67"/>
      <c r="F2" s="65" t="s">
        <v>468</v>
      </c>
      <c r="G2" s="67"/>
      <c r="H2" s="65" t="s">
        <v>469</v>
      </c>
      <c r="I2" s="67"/>
      <c r="J2" s="708" t="s">
        <v>470</v>
      </c>
      <c r="K2" s="709"/>
    </row>
    <row r="3" spans="1:11" ht="33.75">
      <c r="A3" s="80"/>
      <c r="B3" s="703" t="s">
        <v>95</v>
      </c>
      <c r="C3" s="702"/>
      <c r="D3" s="32" t="s">
        <v>18</v>
      </c>
      <c r="E3" s="33" t="s">
        <v>98</v>
      </c>
      <c r="F3" s="32" t="s">
        <v>18</v>
      </c>
      <c r="G3" s="33" t="s">
        <v>98</v>
      </c>
      <c r="H3" s="32" t="s">
        <v>18</v>
      </c>
      <c r="I3" s="33" t="s">
        <v>98</v>
      </c>
      <c r="J3" s="32" t="s">
        <v>18</v>
      </c>
      <c r="K3" s="86" t="s">
        <v>98</v>
      </c>
    </row>
    <row r="4" spans="1:11" ht="13.35" customHeight="1">
      <c r="A4" s="49"/>
      <c r="B4" s="16" t="s">
        <v>19</v>
      </c>
      <c r="C4" s="16" t="s">
        <v>44</v>
      </c>
      <c r="D4" s="19">
        <v>1586</v>
      </c>
      <c r="E4" s="15">
        <v>12.941293</v>
      </c>
      <c r="F4" s="19">
        <v>1631</v>
      </c>
      <c r="G4" s="15">
        <v>15.987234000000001</v>
      </c>
      <c r="H4" s="19">
        <v>1784</v>
      </c>
      <c r="I4" s="15">
        <v>17.660996999999998</v>
      </c>
      <c r="J4" s="19">
        <v>1684</v>
      </c>
      <c r="K4" s="24">
        <v>17.997399999999999</v>
      </c>
    </row>
    <row r="5" spans="1:11" ht="13.35" customHeight="1">
      <c r="A5" s="49"/>
      <c r="B5" s="16" t="s">
        <v>20</v>
      </c>
      <c r="C5" s="50" t="s">
        <v>137</v>
      </c>
      <c r="D5" s="19">
        <v>40</v>
      </c>
      <c r="E5" s="15">
        <v>0.31717600000000001</v>
      </c>
      <c r="F5" s="19">
        <v>73</v>
      </c>
      <c r="G5" s="15">
        <v>0.71768799999999999</v>
      </c>
      <c r="H5" s="19">
        <v>106</v>
      </c>
      <c r="I5" s="15">
        <v>1.1774990000000001</v>
      </c>
      <c r="J5" s="19">
        <v>152</v>
      </c>
      <c r="K5" s="24">
        <v>2.1238480000000002</v>
      </c>
    </row>
    <row r="6" spans="1:11" ht="13.35" customHeight="1">
      <c r="A6" s="49"/>
      <c r="B6" s="16" t="s">
        <v>21</v>
      </c>
      <c r="C6" s="16" t="s">
        <v>45</v>
      </c>
      <c r="D6" s="19">
        <v>6569</v>
      </c>
      <c r="E6" s="15">
        <v>9.0901999999999994</v>
      </c>
      <c r="F6" s="19">
        <v>5564</v>
      </c>
      <c r="G6" s="15">
        <v>7.5774140000000001</v>
      </c>
      <c r="H6" s="19">
        <v>7437</v>
      </c>
      <c r="I6" s="15">
        <v>9.0202550000000006</v>
      </c>
      <c r="J6" s="19">
        <v>7556</v>
      </c>
      <c r="K6" s="24">
        <v>8.5420280000000002</v>
      </c>
    </row>
    <row r="7" spans="1:11" ht="13.35" customHeight="1">
      <c r="A7" s="49"/>
      <c r="B7" s="16" t="s">
        <v>22</v>
      </c>
      <c r="C7" s="16" t="s">
        <v>46</v>
      </c>
      <c r="D7" s="19">
        <v>6665</v>
      </c>
      <c r="E7" s="15">
        <v>12.176247999999999</v>
      </c>
      <c r="F7" s="19">
        <v>6673</v>
      </c>
      <c r="G7" s="15">
        <v>12.196177</v>
      </c>
      <c r="H7" s="19">
        <v>7834</v>
      </c>
      <c r="I7" s="15">
        <v>13.837047999999999</v>
      </c>
      <c r="J7" s="19">
        <v>7259</v>
      </c>
      <c r="K7" s="24">
        <v>12.466917</v>
      </c>
    </row>
    <row r="8" spans="1:11" ht="13.35" customHeight="1">
      <c r="A8" s="49"/>
      <c r="B8" s="16" t="s">
        <v>23</v>
      </c>
      <c r="C8" s="16" t="s">
        <v>47</v>
      </c>
      <c r="D8" s="19">
        <v>11206</v>
      </c>
      <c r="E8" s="15">
        <v>27.610144999999999</v>
      </c>
      <c r="F8" s="19">
        <v>9794</v>
      </c>
      <c r="G8" s="15">
        <v>22.809625</v>
      </c>
      <c r="H8" s="19">
        <v>10118</v>
      </c>
      <c r="I8" s="15">
        <v>23.062366999999998</v>
      </c>
      <c r="J8" s="19">
        <v>9406</v>
      </c>
      <c r="K8" s="24">
        <v>20.804753000000002</v>
      </c>
    </row>
    <row r="9" spans="1:11" ht="13.35" customHeight="1">
      <c r="A9" s="49"/>
      <c r="B9" s="16" t="s">
        <v>24</v>
      </c>
      <c r="C9" s="16" t="s">
        <v>48</v>
      </c>
      <c r="D9" s="19">
        <v>29710</v>
      </c>
      <c r="E9" s="15">
        <v>91.897784000000001</v>
      </c>
      <c r="F9" s="19">
        <v>19898</v>
      </c>
      <c r="G9" s="15">
        <v>61.310462000000001</v>
      </c>
      <c r="H9" s="19">
        <v>15449</v>
      </c>
      <c r="I9" s="15">
        <v>46.349823000000001</v>
      </c>
      <c r="J9" s="19">
        <v>13207</v>
      </c>
      <c r="K9" s="24">
        <v>37.522446000000002</v>
      </c>
    </row>
    <row r="10" spans="1:11" s="51" customFormat="1" ht="13.35" customHeight="1">
      <c r="A10" s="49"/>
      <c r="B10" s="16" t="s">
        <v>25</v>
      </c>
      <c r="C10" s="16" t="s">
        <v>49</v>
      </c>
      <c r="D10" s="19">
        <v>49127</v>
      </c>
      <c r="E10" s="15">
        <v>176.91074599999999</v>
      </c>
      <c r="F10" s="19">
        <v>46430</v>
      </c>
      <c r="G10" s="15">
        <v>170.45916</v>
      </c>
      <c r="H10" s="19">
        <v>37113</v>
      </c>
      <c r="I10" s="15">
        <v>136.89321899999999</v>
      </c>
      <c r="J10" s="19">
        <v>25213</v>
      </c>
      <c r="K10" s="24">
        <v>90.817954</v>
      </c>
    </row>
    <row r="11" spans="1:11" s="1" customFormat="1" ht="13.35" customHeight="1">
      <c r="A11" s="26"/>
      <c r="B11" s="16" t="s">
        <v>26</v>
      </c>
      <c r="C11" s="16" t="s">
        <v>50</v>
      </c>
      <c r="D11" s="19">
        <v>57235</v>
      </c>
      <c r="E11" s="15">
        <v>237.44607600000001</v>
      </c>
      <c r="F11" s="19">
        <v>63395</v>
      </c>
      <c r="G11" s="15">
        <v>261.50296600000001</v>
      </c>
      <c r="H11" s="19">
        <v>77811</v>
      </c>
      <c r="I11" s="15">
        <v>332.26663000000002</v>
      </c>
      <c r="J11" s="19">
        <v>52581</v>
      </c>
      <c r="K11" s="24">
        <v>223.18919099999999</v>
      </c>
    </row>
    <row r="12" spans="1:11" s="1" customFormat="1" ht="13.35" customHeight="1">
      <c r="A12" s="26"/>
      <c r="B12" s="16" t="s">
        <v>27</v>
      </c>
      <c r="C12" s="16" t="s">
        <v>51</v>
      </c>
      <c r="D12" s="19">
        <v>64867</v>
      </c>
      <c r="E12" s="15">
        <v>307.55962599999998</v>
      </c>
      <c r="F12" s="19">
        <v>64581</v>
      </c>
      <c r="G12" s="15">
        <v>303.501755</v>
      </c>
      <c r="H12" s="19">
        <v>75810</v>
      </c>
      <c r="I12" s="15">
        <v>364.49525599999998</v>
      </c>
      <c r="J12" s="19">
        <v>86813</v>
      </c>
      <c r="K12" s="24">
        <v>416.62073800000002</v>
      </c>
    </row>
    <row r="13" spans="1:11" s="1" customFormat="1" ht="13.35" customHeight="1">
      <c r="A13" s="26"/>
      <c r="B13" s="27" t="s">
        <v>28</v>
      </c>
      <c r="C13" s="27" t="s">
        <v>52</v>
      </c>
      <c r="D13" s="19">
        <v>83861</v>
      </c>
      <c r="E13" s="15">
        <v>460.16150299999998</v>
      </c>
      <c r="F13" s="19">
        <v>70365</v>
      </c>
      <c r="G13" s="15">
        <v>371.87306799999999</v>
      </c>
      <c r="H13" s="19">
        <v>72438</v>
      </c>
      <c r="I13" s="15">
        <v>390.046134</v>
      </c>
      <c r="J13" s="19">
        <v>72411</v>
      </c>
      <c r="K13" s="24">
        <v>388.15337299999999</v>
      </c>
    </row>
    <row r="14" spans="1:11" s="1" customFormat="1" ht="13.35" customHeight="1">
      <c r="A14" s="26"/>
      <c r="B14" s="27" t="s">
        <v>29</v>
      </c>
      <c r="C14" s="27" t="s">
        <v>53</v>
      </c>
      <c r="D14" s="19">
        <v>96944</v>
      </c>
      <c r="E14" s="15">
        <v>586.23564399999998</v>
      </c>
      <c r="F14" s="19">
        <v>83907</v>
      </c>
      <c r="G14" s="15">
        <v>504.20147600000001</v>
      </c>
      <c r="H14" s="19">
        <v>78288</v>
      </c>
      <c r="I14" s="15">
        <v>468.94987200000003</v>
      </c>
      <c r="J14" s="19">
        <v>64330</v>
      </c>
      <c r="K14" s="24">
        <v>382.07835799999998</v>
      </c>
    </row>
    <row r="15" spans="1:11" customFormat="1" ht="13.35" customHeight="1">
      <c r="A15" s="26"/>
      <c r="B15" s="27" t="s">
        <v>30</v>
      </c>
      <c r="C15" s="27" t="s">
        <v>54</v>
      </c>
      <c r="D15" s="19">
        <v>110737</v>
      </c>
      <c r="E15" s="15">
        <v>763.34011199999998</v>
      </c>
      <c r="F15" s="19">
        <v>102452</v>
      </c>
      <c r="G15" s="15">
        <v>674.69304299999999</v>
      </c>
      <c r="H15" s="19">
        <v>84504</v>
      </c>
      <c r="I15" s="15">
        <v>561.64395000000002</v>
      </c>
      <c r="J15" s="19">
        <v>71147</v>
      </c>
      <c r="K15" s="24">
        <v>463.59694000000002</v>
      </c>
    </row>
    <row r="16" spans="1:11" customFormat="1" ht="13.35" customHeight="1">
      <c r="A16" s="26"/>
      <c r="B16" s="27" t="s">
        <v>31</v>
      </c>
      <c r="C16" s="27" t="s">
        <v>55</v>
      </c>
      <c r="D16" s="19">
        <v>133390</v>
      </c>
      <c r="E16" s="15">
        <v>1004.183451</v>
      </c>
      <c r="F16" s="19">
        <v>92089</v>
      </c>
      <c r="G16" s="15">
        <v>663.56400199999996</v>
      </c>
      <c r="H16" s="19">
        <v>100329</v>
      </c>
      <c r="I16" s="15">
        <v>729.12409600000001</v>
      </c>
      <c r="J16" s="19">
        <v>75977</v>
      </c>
      <c r="K16" s="24">
        <v>546.80252299999995</v>
      </c>
    </row>
    <row r="17" spans="1:11" customFormat="1" ht="13.35" customHeight="1">
      <c r="A17" s="26"/>
      <c r="B17" s="27" t="s">
        <v>32</v>
      </c>
      <c r="C17" s="27" t="s">
        <v>56</v>
      </c>
      <c r="D17" s="19">
        <v>103455</v>
      </c>
      <c r="E17" s="15">
        <v>811.65811699999995</v>
      </c>
      <c r="F17" s="19">
        <v>112813</v>
      </c>
      <c r="G17" s="15">
        <v>918.37989900000002</v>
      </c>
      <c r="H17" s="19">
        <v>87855</v>
      </c>
      <c r="I17" s="15">
        <v>690.57984299999998</v>
      </c>
      <c r="J17" s="19">
        <v>88767</v>
      </c>
      <c r="K17" s="24">
        <v>694.432323</v>
      </c>
    </row>
    <row r="18" spans="1:11" customFormat="1" ht="13.35" customHeight="1">
      <c r="A18" s="26"/>
      <c r="B18" s="27" t="s">
        <v>33</v>
      </c>
      <c r="C18" s="27" t="s">
        <v>57</v>
      </c>
      <c r="D18" s="19">
        <v>104727</v>
      </c>
      <c r="E18" s="15">
        <v>902.58406400000001</v>
      </c>
      <c r="F18" s="19">
        <v>126204</v>
      </c>
      <c r="G18" s="15">
        <v>1102.467566</v>
      </c>
      <c r="H18" s="19">
        <v>83695</v>
      </c>
      <c r="I18" s="15">
        <v>716.28381100000001</v>
      </c>
      <c r="J18" s="19">
        <v>79845</v>
      </c>
      <c r="K18" s="24">
        <v>672.77633600000001</v>
      </c>
    </row>
    <row r="19" spans="1:11" customFormat="1" ht="13.35" customHeight="1">
      <c r="A19" s="26"/>
      <c r="B19" s="27" t="s">
        <v>34</v>
      </c>
      <c r="C19" s="27" t="s">
        <v>58</v>
      </c>
      <c r="D19" s="19">
        <v>100678</v>
      </c>
      <c r="E19" s="15">
        <v>915.30976099999998</v>
      </c>
      <c r="F19" s="19">
        <v>94993</v>
      </c>
      <c r="G19" s="15">
        <v>859.53275199999996</v>
      </c>
      <c r="H19" s="19">
        <v>100808</v>
      </c>
      <c r="I19" s="15">
        <v>961.00815</v>
      </c>
      <c r="J19" s="19">
        <v>78219</v>
      </c>
      <c r="K19" s="24">
        <v>721.05257099999994</v>
      </c>
    </row>
    <row r="20" spans="1:11" customFormat="1" ht="13.35" customHeight="1">
      <c r="A20" s="26"/>
      <c r="B20" s="27" t="s">
        <v>35</v>
      </c>
      <c r="C20" s="87" t="s">
        <v>59</v>
      </c>
      <c r="D20" s="19">
        <v>282531</v>
      </c>
      <c r="E20" s="15">
        <v>2836.9117839999999</v>
      </c>
      <c r="F20" s="19">
        <v>362739</v>
      </c>
      <c r="G20" s="15">
        <v>3804.7635409999998</v>
      </c>
      <c r="H20" s="19">
        <v>427929</v>
      </c>
      <c r="I20" s="15">
        <v>4740.8334789999999</v>
      </c>
      <c r="J20" s="19">
        <v>420385</v>
      </c>
      <c r="K20" s="24">
        <v>4714.3290859999997</v>
      </c>
    </row>
    <row r="21" spans="1:11" customFormat="1" ht="13.35" customHeight="1">
      <c r="A21" s="26"/>
      <c r="B21" s="27" t="s">
        <v>36</v>
      </c>
      <c r="C21" s="27" t="s">
        <v>60</v>
      </c>
      <c r="D21" s="19">
        <v>225341</v>
      </c>
      <c r="E21" s="15">
        <v>2826.3653370000002</v>
      </c>
      <c r="F21" s="19">
        <v>282348</v>
      </c>
      <c r="G21" s="15">
        <v>3726.5016839999998</v>
      </c>
      <c r="H21" s="19">
        <v>339453</v>
      </c>
      <c r="I21" s="15">
        <v>4818.1560659999996</v>
      </c>
      <c r="J21" s="19">
        <v>393417</v>
      </c>
      <c r="K21" s="24">
        <v>5737.1751450000002</v>
      </c>
    </row>
    <row r="22" spans="1:11" customFormat="1" ht="13.35" customHeight="1">
      <c r="A22" s="26"/>
      <c r="B22" s="27" t="s">
        <v>37</v>
      </c>
      <c r="C22" s="27" t="s">
        <v>61</v>
      </c>
      <c r="D22" s="19">
        <v>95791</v>
      </c>
      <c r="E22" s="15">
        <v>1551.4173940000001</v>
      </c>
      <c r="F22" s="19">
        <v>120655</v>
      </c>
      <c r="G22" s="15">
        <v>2020.343912</v>
      </c>
      <c r="H22" s="19">
        <v>132716</v>
      </c>
      <c r="I22" s="15">
        <v>2437.3316260000001</v>
      </c>
      <c r="J22" s="19">
        <v>154129</v>
      </c>
      <c r="K22" s="24">
        <v>2907.1367209999999</v>
      </c>
    </row>
    <row r="23" spans="1:11" customFormat="1" ht="13.35" customHeight="1">
      <c r="A23" s="26"/>
      <c r="B23" s="27" t="s">
        <v>38</v>
      </c>
      <c r="C23" s="27" t="s">
        <v>62</v>
      </c>
      <c r="D23" s="19">
        <v>48754</v>
      </c>
      <c r="E23" s="15">
        <v>969.43922899999995</v>
      </c>
      <c r="F23" s="19">
        <v>62176</v>
      </c>
      <c r="G23" s="15">
        <v>1272.7733519999999</v>
      </c>
      <c r="H23" s="19">
        <v>62825</v>
      </c>
      <c r="I23" s="15">
        <v>1401.553355</v>
      </c>
      <c r="J23" s="19">
        <v>73674</v>
      </c>
      <c r="K23" s="24">
        <v>1656.9312210000001</v>
      </c>
    </row>
    <row r="24" spans="1:11" customFormat="1" ht="13.35" customHeight="1">
      <c r="A24" s="26"/>
      <c r="B24" s="27" t="s">
        <v>39</v>
      </c>
      <c r="C24" s="27" t="s">
        <v>63</v>
      </c>
      <c r="D24" s="19">
        <v>44827</v>
      </c>
      <c r="E24" s="15">
        <v>1069.2940759999999</v>
      </c>
      <c r="F24" s="19">
        <v>59143</v>
      </c>
      <c r="G24" s="15">
        <v>1503.2748509999999</v>
      </c>
      <c r="H24" s="19">
        <v>66519</v>
      </c>
      <c r="I24" s="15">
        <v>1902.9786570000001</v>
      </c>
      <c r="J24" s="19">
        <v>78602</v>
      </c>
      <c r="K24" s="24">
        <v>2264.365773</v>
      </c>
    </row>
    <row r="25" spans="1:11" customFormat="1" ht="13.35" customHeight="1">
      <c r="A25" s="26"/>
      <c r="B25" s="27" t="s">
        <v>40</v>
      </c>
      <c r="C25" s="27" t="s">
        <v>64</v>
      </c>
      <c r="D25" s="19">
        <v>14078</v>
      </c>
      <c r="E25" s="15">
        <v>412.611131</v>
      </c>
      <c r="F25" s="19">
        <v>17859</v>
      </c>
      <c r="G25" s="15">
        <v>566.73504700000001</v>
      </c>
      <c r="H25" s="19">
        <v>18391</v>
      </c>
      <c r="I25" s="15">
        <v>704.35069999999996</v>
      </c>
      <c r="J25" s="19">
        <v>22782</v>
      </c>
      <c r="K25" s="24">
        <v>876.38297799999998</v>
      </c>
    </row>
    <row r="26" spans="1:11" customFormat="1" ht="13.35" customHeight="1">
      <c r="A26" s="26"/>
      <c r="B26" s="27" t="s">
        <v>41</v>
      </c>
      <c r="C26" s="27" t="s">
        <v>65</v>
      </c>
      <c r="D26" s="19">
        <v>13252</v>
      </c>
      <c r="E26" s="15">
        <v>483.09134399999999</v>
      </c>
      <c r="F26" s="19">
        <v>15811</v>
      </c>
      <c r="G26" s="15">
        <v>634.24931800000002</v>
      </c>
      <c r="H26" s="19">
        <v>14334</v>
      </c>
      <c r="I26" s="15">
        <v>734.99934399999995</v>
      </c>
      <c r="J26" s="19">
        <v>18094</v>
      </c>
      <c r="K26" s="24">
        <v>941.71027900000001</v>
      </c>
    </row>
    <row r="27" spans="1:11" customFormat="1" ht="13.35" customHeight="1">
      <c r="A27" s="26"/>
      <c r="B27" s="27" t="s">
        <v>42</v>
      </c>
      <c r="C27" s="27" t="s">
        <v>66</v>
      </c>
      <c r="D27" s="19">
        <v>3636</v>
      </c>
      <c r="E27" s="15">
        <v>201.53915799999999</v>
      </c>
      <c r="F27" s="19">
        <v>3991</v>
      </c>
      <c r="G27" s="15">
        <v>250.15028599999999</v>
      </c>
      <c r="H27" s="19">
        <v>3473</v>
      </c>
      <c r="I27" s="15">
        <v>261.30794300000002</v>
      </c>
      <c r="J27" s="19">
        <v>4436</v>
      </c>
      <c r="K27" s="24">
        <v>340.05807099999998</v>
      </c>
    </row>
    <row r="28" spans="1:11" customFormat="1" ht="13.35" customHeight="1">
      <c r="A28" s="26"/>
      <c r="B28" s="27" t="s">
        <v>43</v>
      </c>
      <c r="C28" s="27" t="s">
        <v>67</v>
      </c>
      <c r="D28" s="19">
        <v>770</v>
      </c>
      <c r="E28" s="15">
        <v>74.089537000000007</v>
      </c>
      <c r="F28" s="19">
        <v>762</v>
      </c>
      <c r="G28" s="15">
        <v>86.244390999999993</v>
      </c>
      <c r="H28" s="19">
        <v>566</v>
      </c>
      <c r="I28" s="15">
        <v>68.798683999999994</v>
      </c>
      <c r="J28" s="19">
        <v>703</v>
      </c>
      <c r="K28" s="24">
        <v>88.038692999999995</v>
      </c>
    </row>
    <row r="29" spans="1:11" customFormat="1" ht="13.35" customHeight="1">
      <c r="A29" s="88"/>
      <c r="B29" s="75" t="s">
        <v>9</v>
      </c>
      <c r="C29" s="89"/>
      <c r="D29" s="20">
        <f t="shared" ref="D29:K29" si="0">SUM(D4:D28)</f>
        <v>1689777</v>
      </c>
      <c r="E29" s="18">
        <f t="shared" si="0"/>
        <v>16744.180935999997</v>
      </c>
      <c r="F29" s="20">
        <f t="shared" si="0"/>
        <v>1826346</v>
      </c>
      <c r="G29" s="18">
        <f t="shared" si="0"/>
        <v>19815.810668999995</v>
      </c>
      <c r="H29" s="20">
        <f t="shared" si="0"/>
        <v>1907585</v>
      </c>
      <c r="I29" s="18">
        <f t="shared" si="0"/>
        <v>22532.708803999998</v>
      </c>
      <c r="J29" s="20">
        <f t="shared" si="0"/>
        <v>1900789</v>
      </c>
      <c r="K29" s="25">
        <f t="shared" si="0"/>
        <v>24225.105665999999</v>
      </c>
    </row>
    <row r="30" spans="1:11" s="1" customFormat="1" ht="13.35" customHeight="1"/>
    <row r="31" spans="1:11" customFormat="1" ht="13.35" customHeight="1">
      <c r="F31" s="560" t="s">
        <v>506</v>
      </c>
      <c r="H31" s="1"/>
    </row>
    <row r="32" spans="1:11" customFormat="1" ht="13.35" customHeight="1">
      <c r="H32" s="1"/>
    </row>
    <row r="33" spans="3:11" customFormat="1" ht="13.35" customHeight="1">
      <c r="C33" s="170" t="s">
        <v>257</v>
      </c>
      <c r="D33" s="171">
        <f>A2.7.1!D4-A2.7.2!D29</f>
        <v>0</v>
      </c>
      <c r="E33" s="171">
        <f>A2.7.1!E4-A2.7.2!E29</f>
        <v>0</v>
      </c>
      <c r="F33" s="171">
        <f>A2.7.1!F4-A2.7.2!F29</f>
        <v>0</v>
      </c>
      <c r="G33" s="171">
        <f>A2.7.1!G4-A2.7.2!G29</f>
        <v>0</v>
      </c>
      <c r="H33" s="171">
        <f>A2.7.1!H4-A2.7.2!H29</f>
        <v>0</v>
      </c>
      <c r="I33" s="171">
        <f>A2.7.1!I4-A2.7.2!I29</f>
        <v>0</v>
      </c>
      <c r="J33" s="171">
        <f>A2.7.1!J4-A2.7.2!J29</f>
        <v>0</v>
      </c>
      <c r="K33" s="172">
        <f>A2.7.1!K4-A2.7.2!K29</f>
        <v>0</v>
      </c>
    </row>
    <row r="34" spans="3:11" customFormat="1" ht="13.35" customHeight="1">
      <c r="H34" s="1"/>
    </row>
    <row r="35" spans="3:11" customFormat="1" ht="13.35" customHeight="1">
      <c r="C35" s="190" t="s">
        <v>195</v>
      </c>
      <c r="D35" s="188">
        <f>(D20+D21)/D29</f>
        <v>0.30055563544775432</v>
      </c>
      <c r="E35" s="188">
        <f t="shared" ref="E35:K35" si="1">(E20+E21)/E29</f>
        <v>0.33822359795598911</v>
      </c>
      <c r="F35" s="188">
        <f t="shared" si="1"/>
        <v>0.3532118229514013</v>
      </c>
      <c r="G35" s="188">
        <f t="shared" si="1"/>
        <v>0.38006344281346854</v>
      </c>
      <c r="H35" s="188">
        <f t="shared" si="1"/>
        <v>0.40227932176023612</v>
      </c>
      <c r="I35" s="188">
        <f t="shared" si="1"/>
        <v>0.42422727014974304</v>
      </c>
      <c r="J35" s="188">
        <f t="shared" si="1"/>
        <v>0.42813905173062344</v>
      </c>
      <c r="K35" s="189">
        <f t="shared" si="1"/>
        <v>0.43143276133027203</v>
      </c>
    </row>
    <row r="36" spans="3:11" customFormat="1" ht="13.35" customHeight="1">
      <c r="H36" s="1"/>
    </row>
  </sheetData>
  <mergeCells count="2">
    <mergeCell ref="B3:C3"/>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sheetPr codeName="Sheet45"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497</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97</v>
      </c>
      <c r="F3" s="32" t="s">
        <v>18</v>
      </c>
      <c r="G3" s="134" t="s">
        <v>97</v>
      </c>
      <c r="H3" s="32" t="s">
        <v>18</v>
      </c>
      <c r="I3" s="134" t="s">
        <v>97</v>
      </c>
      <c r="J3" s="33" t="s">
        <v>18</v>
      </c>
      <c r="K3" s="86" t="s">
        <v>97</v>
      </c>
    </row>
    <row r="4" spans="1:11" ht="13.35" customHeight="1">
      <c r="A4" s="49"/>
      <c r="B4" s="16" t="s">
        <v>19</v>
      </c>
      <c r="C4" s="16" t="s">
        <v>44</v>
      </c>
      <c r="D4" s="62">
        <f>A2.7.2!D4/A2.7.2!D$29</f>
        <v>9.3858538730258489E-4</v>
      </c>
      <c r="E4" s="58">
        <f>A2.7.2!E4/A2.7.2!E$29</f>
        <v>7.7288301228137192E-4</v>
      </c>
      <c r="F4" s="62">
        <f>A2.7.2!F4/A2.7.2!F$29</f>
        <v>8.9303998256628266E-4</v>
      </c>
      <c r="G4" s="58">
        <f>A2.7.2!G4/A2.7.2!G$29</f>
        <v>8.0679182230028825E-4</v>
      </c>
      <c r="H4" s="62">
        <f>A2.7.2!H4/A2.7.2!H$29</f>
        <v>9.3521389610423656E-4</v>
      </c>
      <c r="I4" s="58">
        <f>A2.7.2!I4/A2.7.2!I$29</f>
        <v>7.8379377968372911E-4</v>
      </c>
      <c r="J4" s="62">
        <f>A2.7.2!J4/A2.7.2!J$29</f>
        <v>8.8594788795600147E-4</v>
      </c>
      <c r="K4" s="59">
        <f>A2.7.2!K4/A2.7.2!K$29</f>
        <v>7.4292348805971974E-4</v>
      </c>
    </row>
    <row r="5" spans="1:11" ht="13.35" customHeight="1">
      <c r="A5" s="49"/>
      <c r="B5" s="16" t="s">
        <v>20</v>
      </c>
      <c r="C5" s="50" t="s">
        <v>137</v>
      </c>
      <c r="D5" s="62">
        <f>A2.7.2!D5/A2.7.2!D$29</f>
        <v>2.3671762605361537E-5</v>
      </c>
      <c r="E5" s="58">
        <f>A2.7.2!E5/A2.7.2!E$29</f>
        <v>1.8942461337005231E-5</v>
      </c>
      <c r="F5" s="62">
        <f>A2.7.2!F5/A2.7.2!F$29</f>
        <v>3.9970520372371941E-5</v>
      </c>
      <c r="G5" s="58">
        <f>A2.7.2!G5/A2.7.2!G$29</f>
        <v>3.6217947980435472E-5</v>
      </c>
      <c r="H5" s="62">
        <f>A2.7.2!H5/A2.7.2!H$29</f>
        <v>5.5567641808884005E-5</v>
      </c>
      <c r="I5" s="58">
        <f>A2.7.2!I5/A2.7.2!I$29</f>
        <v>5.2257321134464355E-5</v>
      </c>
      <c r="J5" s="62">
        <f>A2.7.2!J5/A2.7.2!J$29</f>
        <v>7.9966792737121267E-5</v>
      </c>
      <c r="K5" s="59">
        <f>A2.7.2!K5/A2.7.2!K$29</f>
        <v>8.7671361656053637E-5</v>
      </c>
    </row>
    <row r="6" spans="1:11" ht="13.35" customHeight="1">
      <c r="A6" s="49"/>
      <c r="B6" s="16" t="s">
        <v>21</v>
      </c>
      <c r="C6" s="16" t="s">
        <v>45</v>
      </c>
      <c r="D6" s="62">
        <f>A2.7.2!D6/A2.7.2!D$29</f>
        <v>3.8874952138654982E-3</v>
      </c>
      <c r="E6" s="58">
        <f>A2.7.2!E6/A2.7.2!E$29</f>
        <v>5.4288711013962261E-4</v>
      </c>
      <c r="F6" s="62">
        <f>A2.7.2!F6/A2.7.2!F$29</f>
        <v>3.0465202102996913E-3</v>
      </c>
      <c r="G6" s="58">
        <f>A2.7.2!G6/A2.7.2!G$29</f>
        <v>3.8239232936627542E-4</v>
      </c>
      <c r="H6" s="62">
        <f>A2.7.2!H6/A2.7.2!H$29</f>
        <v>3.8986467182327393E-3</v>
      </c>
      <c r="I6" s="58">
        <f>A2.7.2!I6/A2.7.2!I$29</f>
        <v>4.0031826969683858E-4</v>
      </c>
      <c r="J6" s="62">
        <f>A2.7.2!J6/A2.7.2!J$29</f>
        <v>3.9751913547479492E-3</v>
      </c>
      <c r="K6" s="59">
        <f>A2.7.2!K6/A2.7.2!K$29</f>
        <v>3.5261055690620822E-4</v>
      </c>
    </row>
    <row r="7" spans="1:11" ht="13.35" customHeight="1">
      <c r="A7" s="49"/>
      <c r="B7" s="16" t="s">
        <v>22</v>
      </c>
      <c r="C7" s="16" t="s">
        <v>46</v>
      </c>
      <c r="D7" s="62">
        <f>A2.7.2!D7/A2.7.2!D$29</f>
        <v>3.9443074441183655E-3</v>
      </c>
      <c r="E7" s="58">
        <f>A2.7.2!E7/A2.7.2!E$29</f>
        <v>7.2719281083621478E-4</v>
      </c>
      <c r="F7" s="62">
        <f>A2.7.2!F7/A2.7.2!F$29</f>
        <v>3.6537435951347662E-3</v>
      </c>
      <c r="G7" s="58">
        <f>A2.7.2!G7/A2.7.2!G$29</f>
        <v>6.1547706544652213E-4</v>
      </c>
      <c r="H7" s="62">
        <f>A2.7.2!H7/A2.7.2!H$29</f>
        <v>4.1067632634980882E-3</v>
      </c>
      <c r="I7" s="58">
        <f>A2.7.2!I7/A2.7.2!I$29</f>
        <v>6.1408719743201283E-4</v>
      </c>
      <c r="J7" s="62">
        <f>A2.7.2!J7/A2.7.2!J$29</f>
        <v>3.8189404505181795E-3</v>
      </c>
      <c r="K7" s="59">
        <f>A2.7.2!K7/A2.7.2!K$29</f>
        <v>5.146279719843432E-4</v>
      </c>
    </row>
    <row r="8" spans="1:11" ht="13.35" customHeight="1">
      <c r="A8" s="49"/>
      <c r="B8" s="16" t="s">
        <v>23</v>
      </c>
      <c r="C8" s="16" t="s">
        <v>47</v>
      </c>
      <c r="D8" s="62">
        <f>A2.7.2!D8/A2.7.2!D$29</f>
        <v>6.6316442938920339E-3</v>
      </c>
      <c r="E8" s="58">
        <f>A2.7.2!E8/A2.7.2!E$29</f>
        <v>1.6489397185525017E-3</v>
      </c>
      <c r="F8" s="62">
        <f>A2.7.2!F8/A2.7.2!F$29</f>
        <v>5.362620226397408E-3</v>
      </c>
      <c r="G8" s="58">
        <f>A2.7.2!G8/A2.7.2!G$29</f>
        <v>1.1510821021157389E-3</v>
      </c>
      <c r="H8" s="62">
        <f>A2.7.2!H8/A2.7.2!H$29</f>
        <v>5.3040886775687583E-3</v>
      </c>
      <c r="I8" s="58">
        <f>A2.7.2!I8/A2.7.2!I$29</f>
        <v>1.0235061927355124E-3</v>
      </c>
      <c r="J8" s="62">
        <f>A2.7.2!J8/A2.7.2!J$29</f>
        <v>4.9484713979300174E-3</v>
      </c>
      <c r="K8" s="59">
        <f>A2.7.2!K8/A2.7.2!K$29</f>
        <v>8.5880958732822076E-4</v>
      </c>
    </row>
    <row r="9" spans="1:11" ht="13.35" customHeight="1">
      <c r="A9" s="49"/>
      <c r="B9" s="16" t="s">
        <v>24</v>
      </c>
      <c r="C9" s="16" t="s">
        <v>48</v>
      </c>
      <c r="D9" s="62">
        <f>A2.7.2!D9/A2.7.2!D$29</f>
        <v>1.7582201675132282E-2</v>
      </c>
      <c r="E9" s="58">
        <f>A2.7.2!E9/A2.7.2!E$29</f>
        <v>5.4883415528806023E-3</v>
      </c>
      <c r="F9" s="62">
        <f>A2.7.2!F9/A2.7.2!F$29</f>
        <v>1.0894978279033655E-2</v>
      </c>
      <c r="G9" s="58">
        <f>A2.7.2!G9/A2.7.2!G$29</f>
        <v>3.0940173492833454E-3</v>
      </c>
      <c r="H9" s="62">
        <f>A2.7.2!H9/A2.7.2!H$29</f>
        <v>8.0987216821268772E-3</v>
      </c>
      <c r="I9" s="58">
        <f>A2.7.2!I9/A2.7.2!I$29</f>
        <v>2.0570018191408924E-3</v>
      </c>
      <c r="J9" s="62">
        <f>A2.7.2!J9/A2.7.2!J$29</f>
        <v>6.9481673136786879E-3</v>
      </c>
      <c r="K9" s="59">
        <f>A2.7.2!K9/A2.7.2!K$29</f>
        <v>1.5489074234529699E-3</v>
      </c>
    </row>
    <row r="10" spans="1:11" s="51" customFormat="1" ht="13.35" customHeight="1">
      <c r="A10" s="49"/>
      <c r="B10" s="16" t="s">
        <v>25</v>
      </c>
      <c r="C10" s="16" t="s">
        <v>49</v>
      </c>
      <c r="D10" s="62">
        <f>A2.7.2!D10/A2.7.2!D$29</f>
        <v>2.9073067037839906E-2</v>
      </c>
      <c r="E10" s="58">
        <f>A2.7.2!E10/A2.7.2!E$29</f>
        <v>1.0565506110820971E-2</v>
      </c>
      <c r="F10" s="62">
        <f>A2.7.2!F10/A2.7.2!F$29</f>
        <v>2.5422346039578481E-2</v>
      </c>
      <c r="G10" s="58">
        <f>A2.7.2!G10/A2.7.2!G$29</f>
        <v>8.6021794842169944E-3</v>
      </c>
      <c r="H10" s="62">
        <f>A2.7.2!H10/A2.7.2!H$29</f>
        <v>1.9455489532576531E-2</v>
      </c>
      <c r="I10" s="58">
        <f>A2.7.2!I10/A2.7.2!I$29</f>
        <v>6.0753112371335826E-3</v>
      </c>
      <c r="J10" s="62">
        <f>A2.7.2!J10/A2.7.2!J$29</f>
        <v>1.3264491745269991E-2</v>
      </c>
      <c r="K10" s="59">
        <f>A2.7.2!K10/A2.7.2!K$29</f>
        <v>3.7489187973889105E-3</v>
      </c>
    </row>
    <row r="11" spans="1:11" s="1" customFormat="1" ht="13.35" customHeight="1">
      <c r="A11" s="26"/>
      <c r="B11" s="16" t="s">
        <v>26</v>
      </c>
      <c r="C11" s="16" t="s">
        <v>50</v>
      </c>
      <c r="D11" s="62">
        <f>A2.7.2!D11/A2.7.2!D$29</f>
        <v>3.3871333317946686E-2</v>
      </c>
      <c r="E11" s="58">
        <f>A2.7.2!E11/A2.7.2!E$29</f>
        <v>1.4180811644807948E-2</v>
      </c>
      <c r="F11" s="62">
        <f>A2.7.2!F11/A2.7.2!F$29</f>
        <v>3.471138546584273E-2</v>
      </c>
      <c r="G11" s="58">
        <f>A2.7.2!G11/A2.7.2!G$29</f>
        <v>1.3196682707970017E-2</v>
      </c>
      <c r="H11" s="62">
        <f>A2.7.2!H11/A2.7.2!H$29</f>
        <v>4.0790318648972389E-2</v>
      </c>
      <c r="I11" s="58">
        <f>A2.7.2!I11/A2.7.2!I$29</f>
        <v>1.4745969199274265E-2</v>
      </c>
      <c r="J11" s="62">
        <f>A2.7.2!J11/A2.7.2!J$29</f>
        <v>2.766272321651693E-2</v>
      </c>
      <c r="K11" s="59">
        <f>A2.7.2!K11/A2.7.2!K$29</f>
        <v>9.2131359126844444E-3</v>
      </c>
    </row>
    <row r="12" spans="1:11" s="1" customFormat="1" ht="13.35" customHeight="1">
      <c r="A12" s="26"/>
      <c r="B12" s="16" t="s">
        <v>27</v>
      </c>
      <c r="C12" s="16" t="s">
        <v>51</v>
      </c>
      <c r="D12" s="62">
        <f>A2.7.2!D12/A2.7.2!D$29</f>
        <v>3.8387905623049667E-2</v>
      </c>
      <c r="E12" s="58">
        <f>A2.7.2!E12/A2.7.2!E$29</f>
        <v>1.8368149936719008E-2</v>
      </c>
      <c r="F12" s="62">
        <f>A2.7.2!F12/A2.7.2!F$29</f>
        <v>3.5360769536550027E-2</v>
      </c>
      <c r="G12" s="58">
        <f>A2.7.2!G12/A2.7.2!G$29</f>
        <v>1.5316141240428809E-2</v>
      </c>
      <c r="H12" s="62">
        <f>A2.7.2!H12/A2.7.2!H$29</f>
        <v>3.974134835407072E-2</v>
      </c>
      <c r="I12" s="58">
        <f>A2.7.2!I12/A2.7.2!I$29</f>
        <v>1.6176273308750828E-2</v>
      </c>
      <c r="J12" s="62">
        <f>A2.7.2!J12/A2.7.2!J$29</f>
        <v>4.5672086696629664E-2</v>
      </c>
      <c r="K12" s="59">
        <f>A2.7.2!K12/A2.7.2!K$29</f>
        <v>1.7197891466154813E-2</v>
      </c>
    </row>
    <row r="13" spans="1:11" s="1" customFormat="1" ht="13.35" customHeight="1">
      <c r="A13" s="26"/>
      <c r="B13" s="27" t="s">
        <v>28</v>
      </c>
      <c r="C13" s="27" t="s">
        <v>52</v>
      </c>
      <c r="D13" s="62">
        <f>A2.7.2!D13/A2.7.2!D$29</f>
        <v>4.9628442096205594E-2</v>
      </c>
      <c r="E13" s="58">
        <f>A2.7.2!E13/A2.7.2!E$29</f>
        <v>2.748187592805167E-2</v>
      </c>
      <c r="F13" s="62">
        <f>A2.7.2!F13/A2.7.2!F$29</f>
        <v>3.8527748849341799E-2</v>
      </c>
      <c r="G13" s="58">
        <f>A2.7.2!G13/A2.7.2!G$29</f>
        <v>1.8766482694637421E-2</v>
      </c>
      <c r="H13" s="62">
        <f>A2.7.2!H13/A2.7.2!H$29</f>
        <v>3.7973668276905091E-2</v>
      </c>
      <c r="I13" s="58">
        <f>A2.7.2!I13/A2.7.2!I$29</f>
        <v>1.7310219441115715E-2</v>
      </c>
      <c r="J13" s="62">
        <f>A2.7.2!J13/A2.7.2!J$29</f>
        <v>3.8095233084787419E-2</v>
      </c>
      <c r="K13" s="59">
        <f>A2.7.2!K13/A2.7.2!K$29</f>
        <v>1.6022773165640894E-2</v>
      </c>
    </row>
    <row r="14" spans="1:11" s="1" customFormat="1" ht="13.35" customHeight="1">
      <c r="A14" s="26"/>
      <c r="B14" s="27" t="s">
        <v>29</v>
      </c>
      <c r="C14" s="27" t="s">
        <v>53</v>
      </c>
      <c r="D14" s="62">
        <f>A2.7.2!D14/A2.7.2!D$29</f>
        <v>5.7370883850354215E-2</v>
      </c>
      <c r="E14" s="58">
        <f>A2.7.2!E14/A2.7.2!E$29</f>
        <v>3.5011306091395196E-2</v>
      </c>
      <c r="F14" s="62">
        <f>A2.7.2!F14/A2.7.2!F$29</f>
        <v>4.5942554149104274E-2</v>
      </c>
      <c r="G14" s="58">
        <f>A2.7.2!G14/A2.7.2!G$29</f>
        <v>2.5444403179970661E-2</v>
      </c>
      <c r="H14" s="62">
        <f>A2.7.2!H14/A2.7.2!H$29</f>
        <v>4.1040373037112367E-2</v>
      </c>
      <c r="I14" s="58">
        <f>A2.7.2!I14/A2.7.2!I$29</f>
        <v>2.0811961672213695E-2</v>
      </c>
      <c r="J14" s="62">
        <f>A2.7.2!J14/A2.7.2!J$29</f>
        <v>3.3843840636704023E-2</v>
      </c>
      <c r="K14" s="59">
        <f>A2.7.2!K14/A2.7.2!K$29</f>
        <v>1.5771999646476176E-2</v>
      </c>
    </row>
    <row r="15" spans="1:11" customFormat="1" ht="13.35" customHeight="1">
      <c r="A15" s="26"/>
      <c r="B15" s="27" t="s">
        <v>30</v>
      </c>
      <c r="C15" s="27" t="s">
        <v>54</v>
      </c>
      <c r="D15" s="62">
        <f>A2.7.2!D15/A2.7.2!D$29</f>
        <v>6.5533499390748012E-2</v>
      </c>
      <c r="E15" s="58">
        <f>A2.7.2!E15/A2.7.2!E$29</f>
        <v>4.5588381714080646E-2</v>
      </c>
      <c r="F15" s="62">
        <f>A2.7.2!F15/A2.7.2!F$29</f>
        <v>5.6096708947811644E-2</v>
      </c>
      <c r="G15" s="58">
        <f>A2.7.2!G15/A2.7.2!G$29</f>
        <v>3.4048218075452996E-2</v>
      </c>
      <c r="H15" s="62">
        <f>A2.7.2!H15/A2.7.2!H$29</f>
        <v>4.4298943428471078E-2</v>
      </c>
      <c r="I15" s="58">
        <f>A2.7.2!I15/A2.7.2!I$29</f>
        <v>2.4925718203054982E-2</v>
      </c>
      <c r="J15" s="62">
        <f>A2.7.2!J15/A2.7.2!J$29</f>
        <v>3.7430246071499786E-2</v>
      </c>
      <c r="K15" s="59">
        <f>A2.7.2!K15/A2.7.2!K$29</f>
        <v>1.9137045113105929E-2</v>
      </c>
    </row>
    <row r="16" spans="1:11" customFormat="1" ht="13.35" customHeight="1">
      <c r="A16" s="26"/>
      <c r="B16" s="27" t="s">
        <v>31</v>
      </c>
      <c r="C16" s="27" t="s">
        <v>55</v>
      </c>
      <c r="D16" s="62">
        <f>A2.7.2!D16/A2.7.2!D$29</f>
        <v>7.8939410348229377E-2</v>
      </c>
      <c r="E16" s="58">
        <f>A2.7.2!E16/A2.7.2!E$29</f>
        <v>5.9972085516646866E-2</v>
      </c>
      <c r="F16" s="62">
        <f>A2.7.2!F16/A2.7.2!F$29</f>
        <v>5.0422537679059722E-2</v>
      </c>
      <c r="G16" s="58">
        <f>A2.7.2!G16/A2.7.2!G$29</f>
        <v>3.348659376515363E-2</v>
      </c>
      <c r="H16" s="62">
        <f>A2.7.2!H16/A2.7.2!H$29</f>
        <v>5.2594772972108711E-2</v>
      </c>
      <c r="I16" s="58">
        <f>A2.7.2!I16/A2.7.2!I$29</f>
        <v>3.2358475065837007E-2</v>
      </c>
      <c r="J16" s="62">
        <f>A2.7.2!J16/A2.7.2!J$29</f>
        <v>3.9971296130185942E-2</v>
      </c>
      <c r="K16" s="59">
        <f>A2.7.2!K16/A2.7.2!K$29</f>
        <v>2.2571729120151526E-2</v>
      </c>
    </row>
    <row r="17" spans="1:11" customFormat="1" ht="13.35" customHeight="1">
      <c r="A17" s="26"/>
      <c r="B17" s="27" t="s">
        <v>32</v>
      </c>
      <c r="C17" s="27" t="s">
        <v>56</v>
      </c>
      <c r="D17" s="62">
        <f>A2.7.2!D17/A2.7.2!D$29</f>
        <v>6.1224055008441941E-2</v>
      </c>
      <c r="E17" s="58">
        <f>A2.7.2!E17/A2.7.2!E$29</f>
        <v>4.8474041226760432E-2</v>
      </c>
      <c r="F17" s="62">
        <f>A2.7.2!F17/A2.7.2!F$29</f>
        <v>6.1769785133813634E-2</v>
      </c>
      <c r="G17" s="58">
        <f>A2.7.2!G17/A2.7.2!G$29</f>
        <v>4.6345815184675766E-2</v>
      </c>
      <c r="H17" s="62">
        <f>A2.7.2!H17/A2.7.2!H$29</f>
        <v>4.605561482188212E-2</v>
      </c>
      <c r="I17" s="58">
        <f>A2.7.2!I17/A2.7.2!I$29</f>
        <v>3.0647883883246584E-2</v>
      </c>
      <c r="J17" s="62">
        <f>A2.7.2!J17/A2.7.2!J$29</f>
        <v>4.6700080861158184E-2</v>
      </c>
      <c r="K17" s="59">
        <f>A2.7.2!K17/A2.7.2!K$29</f>
        <v>2.8665811929755074E-2</v>
      </c>
    </row>
    <row r="18" spans="1:11" customFormat="1" ht="13.35" customHeight="1">
      <c r="A18" s="26"/>
      <c r="B18" s="27" t="s">
        <v>33</v>
      </c>
      <c r="C18" s="27" t="s">
        <v>57</v>
      </c>
      <c r="D18" s="62">
        <f>A2.7.2!D18/A2.7.2!D$29</f>
        <v>6.1976817059292443E-2</v>
      </c>
      <c r="E18" s="58">
        <f>A2.7.2!E18/A2.7.2!E$29</f>
        <v>5.3904342496648723E-2</v>
      </c>
      <c r="F18" s="62">
        <f>A2.7.2!F18/A2.7.2!F$29</f>
        <v>6.9101911685956544E-2</v>
      </c>
      <c r="G18" s="58">
        <f>A2.7.2!G18/A2.7.2!G$29</f>
        <v>5.5635753914661121E-2</v>
      </c>
      <c r="H18" s="62">
        <f>A2.7.2!H18/A2.7.2!H$29</f>
        <v>4.3874846992401385E-2</v>
      </c>
      <c r="I18" s="58">
        <f>A2.7.2!I18/A2.7.2!I$29</f>
        <v>3.1788624138827264E-2</v>
      </c>
      <c r="J18" s="62">
        <f>A2.7.2!J18/A2.7.2!J$29</f>
        <v>4.200624056641742E-2</v>
      </c>
      <c r="K18" s="59">
        <f>A2.7.2!K18/A2.7.2!K$29</f>
        <v>2.7771863837285277E-2</v>
      </c>
    </row>
    <row r="19" spans="1:11" customFormat="1" ht="13.35" customHeight="1">
      <c r="A19" s="26"/>
      <c r="B19" s="27" t="s">
        <v>34</v>
      </c>
      <c r="C19" s="27" t="s">
        <v>58</v>
      </c>
      <c r="D19" s="62">
        <f>A2.7.2!D19/A2.7.2!D$29</f>
        <v>5.9580642889564717E-2</v>
      </c>
      <c r="E19" s="58">
        <f>A2.7.2!E19/A2.7.2!E$29</f>
        <v>5.4664349632778012E-2</v>
      </c>
      <c r="F19" s="62">
        <f>A2.7.2!F19/A2.7.2!F$29</f>
        <v>5.2012597831955172E-2</v>
      </c>
      <c r="G19" s="58">
        <f>A2.7.2!G19/A2.7.2!G$29</f>
        <v>4.3376108419559113E-2</v>
      </c>
      <c r="H19" s="62">
        <f>A2.7.2!H19/A2.7.2!H$29</f>
        <v>5.2845875806320559E-2</v>
      </c>
      <c r="I19" s="58">
        <f>A2.7.2!I19/A2.7.2!I$29</f>
        <v>4.2649472744679603E-2</v>
      </c>
      <c r="J19" s="62">
        <f>A2.7.2!J19/A2.7.2!J$29</f>
        <v>4.1150806323058474E-2</v>
      </c>
      <c r="K19" s="59">
        <f>A2.7.2!K19/A2.7.2!K$29</f>
        <v>2.976468218307915E-2</v>
      </c>
    </row>
    <row r="20" spans="1:11" customFormat="1" ht="13.35" customHeight="1">
      <c r="A20" s="26"/>
      <c r="B20" s="27" t="s">
        <v>35</v>
      </c>
      <c r="C20" s="87" t="s">
        <v>59</v>
      </c>
      <c r="D20" s="62">
        <f>A2.7.2!D20/A2.7.2!D$29</f>
        <v>0.16720016901638501</v>
      </c>
      <c r="E20" s="58">
        <f>A2.7.2!E20/A2.7.2!E$29</f>
        <v>0.16942672769980874</v>
      </c>
      <c r="F20" s="62">
        <f>A2.7.2!F20/A2.7.2!F$29</f>
        <v>0.19861461081306608</v>
      </c>
      <c r="G20" s="58">
        <f>A2.7.2!G20/A2.7.2!G$29</f>
        <v>0.19200645406610595</v>
      </c>
      <c r="H20" s="62">
        <f>A2.7.2!H20/A2.7.2!H$29</f>
        <v>0.22433023954371628</v>
      </c>
      <c r="I20" s="58">
        <f>A2.7.2!I20/A2.7.2!I$29</f>
        <v>0.21039784964328873</v>
      </c>
      <c r="J20" s="62">
        <f>A2.7.2!J20/A2.7.2!J$29</f>
        <v>0.2211634221368074</v>
      </c>
      <c r="K20" s="59">
        <f>A2.7.2!K20/A2.7.2!K$29</f>
        <v>0.19460509898277031</v>
      </c>
    </row>
    <row r="21" spans="1:11" customFormat="1" ht="13.35" customHeight="1">
      <c r="A21" s="26"/>
      <c r="B21" s="27" t="s">
        <v>36</v>
      </c>
      <c r="C21" s="27" t="s">
        <v>60</v>
      </c>
      <c r="D21" s="62">
        <f>A2.7.2!D21/A2.7.2!D$29</f>
        <v>0.13335546643136933</v>
      </c>
      <c r="E21" s="58">
        <f>A2.7.2!E21/A2.7.2!E$29</f>
        <v>0.16879687025618037</v>
      </c>
      <c r="F21" s="62">
        <f>A2.7.2!F21/A2.7.2!F$29</f>
        <v>0.15459721213833524</v>
      </c>
      <c r="G21" s="58">
        <f>A2.7.2!G21/A2.7.2!G$29</f>
        <v>0.1880569887473626</v>
      </c>
      <c r="H21" s="62">
        <f>A2.7.2!H21/A2.7.2!H$29</f>
        <v>0.17794908221651984</v>
      </c>
      <c r="I21" s="58">
        <f>A2.7.2!I21/A2.7.2!I$29</f>
        <v>0.21382942050645426</v>
      </c>
      <c r="J21" s="62">
        <f>A2.7.2!J21/A2.7.2!J$29</f>
        <v>0.20697562959381605</v>
      </c>
      <c r="K21" s="59">
        <f>A2.7.2!K21/A2.7.2!K$29</f>
        <v>0.23682766234750177</v>
      </c>
    </row>
    <row r="22" spans="1:11" customFormat="1" ht="13.35" customHeight="1">
      <c r="A22" s="26"/>
      <c r="B22" s="27" t="s">
        <v>37</v>
      </c>
      <c r="C22" s="27" t="s">
        <v>61</v>
      </c>
      <c r="D22" s="62">
        <f>A2.7.2!D22/A2.7.2!D$29</f>
        <v>5.668854529325467E-2</v>
      </c>
      <c r="E22" s="58">
        <f>A2.7.2!E22/A2.7.2!E$29</f>
        <v>9.2654122642956624E-2</v>
      </c>
      <c r="F22" s="62">
        <f>A2.7.2!F22/A2.7.2!F$29</f>
        <v>6.6063604596281314E-2</v>
      </c>
      <c r="G22" s="58">
        <f>A2.7.2!G22/A2.7.2!G$29</f>
        <v>0.10195615742133837</v>
      </c>
      <c r="H22" s="62">
        <f>A2.7.2!H22/A2.7.2!H$29</f>
        <v>6.9572784436866514E-2</v>
      </c>
      <c r="I22" s="58">
        <f>A2.7.2!I22/A2.7.2!I$29</f>
        <v>0.10816860268337226</v>
      </c>
      <c r="J22" s="62">
        <f>A2.7.2!J22/A2.7.2!J$29</f>
        <v>8.1086853932761604E-2</v>
      </c>
      <c r="K22" s="59">
        <f>A2.7.2!K22/A2.7.2!K$29</f>
        <v>0.12000512035248515</v>
      </c>
    </row>
    <row r="23" spans="1:11" customFormat="1" ht="13.35" customHeight="1">
      <c r="A23" s="26"/>
      <c r="B23" s="27" t="s">
        <v>38</v>
      </c>
      <c r="C23" s="27" t="s">
        <v>62</v>
      </c>
      <c r="D23" s="62">
        <f>A2.7.2!D23/A2.7.2!D$29</f>
        <v>2.8852327851544908E-2</v>
      </c>
      <c r="E23" s="58">
        <f>A2.7.2!E23/A2.7.2!E$29</f>
        <v>5.7897082736110737E-2</v>
      </c>
      <c r="F23" s="62">
        <f>A2.7.2!F23/A2.7.2!F$29</f>
        <v>3.4043932529761609E-2</v>
      </c>
      <c r="G23" s="58">
        <f>A2.7.2!G23/A2.7.2!G$29</f>
        <v>6.4230193417781092E-2</v>
      </c>
      <c r="H23" s="62">
        <f>A2.7.2!H23/A2.7.2!H$29</f>
        <v>3.2934312232482429E-2</v>
      </c>
      <c r="I23" s="58">
        <f>A2.7.2!I23/A2.7.2!I$29</f>
        <v>6.2200837333467728E-2</v>
      </c>
      <c r="J23" s="62">
        <f>A2.7.2!J23/A2.7.2!J$29</f>
        <v>3.8759694000754422E-2</v>
      </c>
      <c r="K23" s="59">
        <f>A2.7.2!K23/A2.7.2!K$29</f>
        <v>6.8397275283117023E-2</v>
      </c>
    </row>
    <row r="24" spans="1:11" customFormat="1" ht="13.35" customHeight="1">
      <c r="A24" s="26"/>
      <c r="B24" s="27" t="s">
        <v>39</v>
      </c>
      <c r="C24" s="27" t="s">
        <v>63</v>
      </c>
      <c r="D24" s="62">
        <f>A2.7.2!D24/A2.7.2!D$29</f>
        <v>2.6528352557763538E-2</v>
      </c>
      <c r="E24" s="58">
        <f>A2.7.2!E24/A2.7.2!E$29</f>
        <v>6.3860637918754043E-2</v>
      </c>
      <c r="F24" s="62">
        <f>A2.7.2!F24/A2.7.2!F$29</f>
        <v>3.2383239539495803E-2</v>
      </c>
      <c r="G24" s="58">
        <f>A2.7.2!G24/A2.7.2!G$29</f>
        <v>7.5862394736730829E-2</v>
      </c>
      <c r="H24" s="62">
        <f>A2.7.2!H24/A2.7.2!H$29</f>
        <v>3.4870792127218449E-2</v>
      </c>
      <c r="I24" s="58">
        <f>A2.7.2!I24/A2.7.2!I$29</f>
        <v>8.4454056258969804E-2</v>
      </c>
      <c r="J24" s="62">
        <f>A2.7.2!J24/A2.7.2!J$29</f>
        <v>4.1352301596863199E-2</v>
      </c>
      <c r="K24" s="59">
        <f>A2.7.2!K24/A2.7.2!K$29</f>
        <v>9.3471863620312026E-2</v>
      </c>
    </row>
    <row r="25" spans="1:11" customFormat="1" ht="13.35" customHeight="1">
      <c r="A25" s="26"/>
      <c r="B25" s="27" t="s">
        <v>40</v>
      </c>
      <c r="C25" s="27" t="s">
        <v>64</v>
      </c>
      <c r="D25" s="62">
        <f>A2.7.2!D25/A2.7.2!D$29</f>
        <v>8.3312768489569918E-3</v>
      </c>
      <c r="E25" s="58">
        <f>A2.7.2!E25/A2.7.2!E$29</f>
        <v>2.4642061177975322E-2</v>
      </c>
      <c r="F25" s="62">
        <f>A2.7.2!F25/A2.7.2!F$29</f>
        <v>9.7785414154820602E-3</v>
      </c>
      <c r="G25" s="58">
        <f>A2.7.2!G25/A2.7.2!G$29</f>
        <v>2.8600144423392409E-2</v>
      </c>
      <c r="H25" s="62">
        <f>A2.7.2!H25/A2.7.2!H$29</f>
        <v>9.6409858538413756E-3</v>
      </c>
      <c r="I25" s="58">
        <f>A2.7.2!I25/A2.7.2!I$29</f>
        <v>3.1259033528847797E-2</v>
      </c>
      <c r="J25" s="62">
        <f>A2.7.2!J25/A2.7.2!J$29</f>
        <v>1.1985549158796689E-2</v>
      </c>
      <c r="K25" s="59">
        <f>A2.7.2!K25/A2.7.2!K$29</f>
        <v>3.6176642120079823E-2</v>
      </c>
    </row>
    <row r="26" spans="1:11" customFormat="1" ht="13.35" customHeight="1">
      <c r="A26" s="26"/>
      <c r="B26" s="27" t="s">
        <v>41</v>
      </c>
      <c r="C26" s="27" t="s">
        <v>65</v>
      </c>
      <c r="D26" s="62">
        <f>A2.7.2!D26/A2.7.2!D$29</f>
        <v>7.8424549511562774E-3</v>
      </c>
      <c r="E26" s="58">
        <f>A2.7.2!E26/A2.7.2!E$29</f>
        <v>2.8851297405736543E-2</v>
      </c>
      <c r="F26" s="62">
        <f>A2.7.2!F26/A2.7.2!F$29</f>
        <v>8.6571766795557909E-3</v>
      </c>
      <c r="G26" s="58">
        <f>A2.7.2!G26/A2.7.2!G$29</f>
        <v>3.2007235464367075E-2</v>
      </c>
      <c r="H26" s="62">
        <f>A2.7.2!H26/A2.7.2!H$29</f>
        <v>7.5142129970617302E-3</v>
      </c>
      <c r="I26" s="58">
        <f>A2.7.2!I26/A2.7.2!I$29</f>
        <v>3.2619218150528054E-2</v>
      </c>
      <c r="J26" s="62">
        <f>A2.7.2!J26/A2.7.2!J$29</f>
        <v>9.519204919641264E-3</v>
      </c>
      <c r="K26" s="59">
        <f>A2.7.2!K26/A2.7.2!K$29</f>
        <v>3.8873319769320673E-2</v>
      </c>
    </row>
    <row r="27" spans="1:11" customFormat="1" ht="13.35" customHeight="1">
      <c r="A27" s="26"/>
      <c r="B27" s="27" t="s">
        <v>42</v>
      </c>
      <c r="C27" s="27" t="s">
        <v>66</v>
      </c>
      <c r="D27" s="62">
        <f>A2.7.2!D27/A2.7.2!D$29</f>
        <v>2.1517632208273635E-3</v>
      </c>
      <c r="E27" s="58">
        <f>A2.7.2!E27/A2.7.2!E$29</f>
        <v>1.2036370054189435E-2</v>
      </c>
      <c r="F27" s="62">
        <f>A2.7.2!F27/A2.7.2!F$29</f>
        <v>2.1852376274813208E-3</v>
      </c>
      <c r="G27" s="58">
        <f>A2.7.2!G27/A2.7.2!G$29</f>
        <v>1.2623772510671845E-2</v>
      </c>
      <c r="H27" s="62">
        <f>A2.7.2!H27/A2.7.2!H$29</f>
        <v>1.8206266037948506E-3</v>
      </c>
      <c r="I27" s="58">
        <f>A2.7.2!I27/A2.7.2!I$29</f>
        <v>1.1596827761498996E-2</v>
      </c>
      <c r="J27" s="62">
        <f>A2.7.2!J27/A2.7.2!J$29</f>
        <v>2.3337677143544077E-3</v>
      </c>
      <c r="K27" s="59">
        <f>A2.7.2!K27/A2.7.2!K$29</f>
        <v>1.4037423641758244E-2</v>
      </c>
    </row>
    <row r="28" spans="1:11" customFormat="1" ht="13.35" customHeight="1">
      <c r="A28" s="26"/>
      <c r="B28" s="27" t="s">
        <v>43</v>
      </c>
      <c r="C28" s="27" t="s">
        <v>67</v>
      </c>
      <c r="D28" s="62">
        <f>A2.7.2!D28/A2.7.2!D$29</f>
        <v>4.5568143015320959E-4</v>
      </c>
      <c r="E28" s="58">
        <f>A2.7.2!E28/A2.7.2!E$29</f>
        <v>4.4247931435515888E-3</v>
      </c>
      <c r="F28" s="62">
        <f>A2.7.2!F28/A2.7.2!F$29</f>
        <v>4.1722652772256734E-4</v>
      </c>
      <c r="G28" s="58">
        <f>A2.7.2!G28/A2.7.2!G$29</f>
        <v>4.3523019290309115E-3</v>
      </c>
      <c r="H28" s="62">
        <f>A2.7.2!H28/A2.7.2!H$29</f>
        <v>2.967102383380033E-4</v>
      </c>
      <c r="I28" s="58">
        <f>A2.7.2!I28/A2.7.2!I$29</f>
        <v>3.053280659615451E-3</v>
      </c>
      <c r="J28" s="62">
        <f>A2.7.2!J28/A2.7.2!J$29</f>
        <v>3.698464164091859E-4</v>
      </c>
      <c r="K28" s="59">
        <f>A2.7.2!K28/A2.7.2!K$29</f>
        <v>3.6341923215452692E-3</v>
      </c>
    </row>
    <row r="29" spans="1:11" customFormat="1" ht="13.35" customHeight="1">
      <c r="A29" s="88"/>
      <c r="B29" s="75" t="s">
        <v>9</v>
      </c>
      <c r="C29" s="89"/>
      <c r="D29" s="63">
        <f>A2.7.2!D29/A2.7.2!D$29</f>
        <v>1</v>
      </c>
      <c r="E29" s="60">
        <f>A2.7.2!E29/A2.7.2!E$29</f>
        <v>1</v>
      </c>
      <c r="F29" s="63">
        <f>A2.7.2!F29/A2.7.2!F$29</f>
        <v>1</v>
      </c>
      <c r="G29" s="60">
        <f>A2.7.2!G29/A2.7.2!G$29</f>
        <v>1</v>
      </c>
      <c r="H29" s="63">
        <f>A2.7.2!H29/A2.7.2!H$29</f>
        <v>1</v>
      </c>
      <c r="I29" s="60">
        <f>A2.7.2!I29/A2.7.2!I$29</f>
        <v>1</v>
      </c>
      <c r="J29" s="63">
        <f>A2.7.2!J29/A2.7.2!J$29</f>
        <v>1</v>
      </c>
      <c r="K29" s="61">
        <f>A2.7.2!K29/A2.7.2!K$29</f>
        <v>1</v>
      </c>
    </row>
    <row r="30" spans="1:11" s="1" customFormat="1" ht="13.35" customHeight="1"/>
    <row r="31" spans="1:11">
      <c r="F31" s="560" t="s">
        <v>506</v>
      </c>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sheetPr codeName="Sheet40" enableFormatConditionsCalculation="0">
    <pageSetUpPr fitToPage="1"/>
  </sheetPr>
  <dimension ref="A1:K34"/>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441</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33.75">
      <c r="A3" s="80"/>
      <c r="B3" s="703" t="s">
        <v>95</v>
      </c>
      <c r="C3" s="702"/>
      <c r="D3" s="32" t="s">
        <v>18</v>
      </c>
      <c r="E3" s="33" t="s">
        <v>98</v>
      </c>
      <c r="F3" s="32" t="s">
        <v>18</v>
      </c>
      <c r="G3" s="33" t="s">
        <v>98</v>
      </c>
      <c r="H3" s="32" t="s">
        <v>18</v>
      </c>
      <c r="I3" s="33" t="s">
        <v>98</v>
      </c>
      <c r="J3" s="32" t="s">
        <v>18</v>
      </c>
      <c r="K3" s="86" t="s">
        <v>98</v>
      </c>
    </row>
    <row r="4" spans="1:11" ht="13.35" customHeight="1">
      <c r="A4" s="49"/>
      <c r="B4" s="16" t="s">
        <v>19</v>
      </c>
      <c r="C4" s="16" t="s">
        <v>44</v>
      </c>
      <c r="D4" s="19">
        <v>4993</v>
      </c>
      <c r="E4" s="15">
        <v>21.197141999999999</v>
      </c>
      <c r="F4" s="19">
        <v>5101</v>
      </c>
      <c r="G4" s="15">
        <v>24.069265999999999</v>
      </c>
      <c r="H4" s="19">
        <v>4778</v>
      </c>
      <c r="I4" s="15">
        <v>21.744164000000001</v>
      </c>
      <c r="J4" s="19">
        <v>4351</v>
      </c>
      <c r="K4" s="24">
        <v>20.777201999999999</v>
      </c>
    </row>
    <row r="5" spans="1:11" ht="13.35" customHeight="1">
      <c r="A5" s="49"/>
      <c r="B5" s="16" t="s">
        <v>20</v>
      </c>
      <c r="C5" s="50" t="s">
        <v>137</v>
      </c>
      <c r="D5" s="19">
        <v>1242</v>
      </c>
      <c r="E5" s="15">
        <v>2.829993</v>
      </c>
      <c r="F5" s="19">
        <v>1131</v>
      </c>
      <c r="G5" s="15">
        <v>2.5152130000000001</v>
      </c>
      <c r="H5" s="19">
        <v>1104</v>
      </c>
      <c r="I5" s="15">
        <v>2.192469</v>
      </c>
      <c r="J5" s="19">
        <v>931</v>
      </c>
      <c r="K5" s="24">
        <v>2.2545630000000001</v>
      </c>
    </row>
    <row r="6" spans="1:11" ht="13.35" customHeight="1">
      <c r="A6" s="49"/>
      <c r="B6" s="16" t="s">
        <v>21</v>
      </c>
      <c r="C6" s="16" t="s">
        <v>45</v>
      </c>
      <c r="D6" s="19">
        <v>15798</v>
      </c>
      <c r="E6" s="15">
        <v>56.164048000000001</v>
      </c>
      <c r="F6" s="19">
        <v>14509</v>
      </c>
      <c r="G6" s="15">
        <v>53.801298000000003</v>
      </c>
      <c r="H6" s="19">
        <v>13467</v>
      </c>
      <c r="I6" s="15">
        <v>50.361162</v>
      </c>
      <c r="J6" s="19">
        <v>11078</v>
      </c>
      <c r="K6" s="24">
        <v>43.259292000000002</v>
      </c>
    </row>
    <row r="7" spans="1:11" ht="13.35" customHeight="1">
      <c r="A7" s="49"/>
      <c r="B7" s="16" t="s">
        <v>22</v>
      </c>
      <c r="C7" s="16" t="s">
        <v>46</v>
      </c>
      <c r="D7" s="19">
        <v>11414</v>
      </c>
      <c r="E7" s="15">
        <v>47.481993000000003</v>
      </c>
      <c r="F7" s="19">
        <v>10756</v>
      </c>
      <c r="G7" s="15">
        <v>47.591695999999999</v>
      </c>
      <c r="H7" s="19">
        <v>9431</v>
      </c>
      <c r="I7" s="15">
        <v>42.214016999999998</v>
      </c>
      <c r="J7" s="19">
        <v>7744</v>
      </c>
      <c r="K7" s="24">
        <v>35.863746999999996</v>
      </c>
    </row>
    <row r="8" spans="1:11" ht="13.35" customHeight="1">
      <c r="A8" s="49"/>
      <c r="B8" s="16" t="s">
        <v>23</v>
      </c>
      <c r="C8" s="16" t="s">
        <v>47</v>
      </c>
      <c r="D8" s="19">
        <v>16910</v>
      </c>
      <c r="E8" s="15">
        <v>78.884985999999998</v>
      </c>
      <c r="F8" s="19">
        <v>14179</v>
      </c>
      <c r="G8" s="15">
        <v>71.678967</v>
      </c>
      <c r="H8" s="19">
        <v>11590</v>
      </c>
      <c r="I8" s="15">
        <v>60.380848999999998</v>
      </c>
      <c r="J8" s="19">
        <v>9643</v>
      </c>
      <c r="K8" s="24">
        <v>52.047818999999997</v>
      </c>
    </row>
    <row r="9" spans="1:11" ht="13.35" customHeight="1">
      <c r="A9" s="49"/>
      <c r="B9" s="16" t="s">
        <v>24</v>
      </c>
      <c r="C9" s="16" t="s">
        <v>48</v>
      </c>
      <c r="D9" s="19">
        <v>24993</v>
      </c>
      <c r="E9" s="15">
        <v>109.232304</v>
      </c>
      <c r="F9" s="19">
        <v>22139</v>
      </c>
      <c r="G9" s="15">
        <v>109.579583</v>
      </c>
      <c r="H9" s="19">
        <v>16022</v>
      </c>
      <c r="I9" s="15">
        <v>88.499390000000005</v>
      </c>
      <c r="J9" s="19">
        <v>12580</v>
      </c>
      <c r="K9" s="24">
        <v>73.663152999999994</v>
      </c>
    </row>
    <row r="10" spans="1:11" s="51" customFormat="1" ht="13.35" customHeight="1">
      <c r="A10" s="49"/>
      <c r="B10" s="16" t="s">
        <v>25</v>
      </c>
      <c r="C10" s="16" t="s">
        <v>49</v>
      </c>
      <c r="D10" s="19">
        <v>27480</v>
      </c>
      <c r="E10" s="15">
        <v>116.42142200000001</v>
      </c>
      <c r="F10" s="19">
        <v>27826</v>
      </c>
      <c r="G10" s="15">
        <v>118.01364</v>
      </c>
      <c r="H10" s="19">
        <v>24920</v>
      </c>
      <c r="I10" s="15">
        <v>124.588002</v>
      </c>
      <c r="J10" s="19">
        <v>19226</v>
      </c>
      <c r="K10" s="24">
        <v>109.166436</v>
      </c>
    </row>
    <row r="11" spans="1:11" s="1" customFormat="1" ht="13.35" customHeight="1">
      <c r="A11" s="26"/>
      <c r="B11" s="16" t="s">
        <v>26</v>
      </c>
      <c r="C11" s="16" t="s">
        <v>50</v>
      </c>
      <c r="D11" s="19">
        <v>29661</v>
      </c>
      <c r="E11" s="15">
        <v>129.706436</v>
      </c>
      <c r="F11" s="19">
        <v>29230</v>
      </c>
      <c r="G11" s="15">
        <v>127.91548400000001</v>
      </c>
      <c r="H11" s="19">
        <v>31680</v>
      </c>
      <c r="I11" s="15">
        <v>130.77873700000001</v>
      </c>
      <c r="J11" s="19">
        <v>25142</v>
      </c>
      <c r="K11" s="24">
        <v>121.91688499999999</v>
      </c>
    </row>
    <row r="12" spans="1:11" s="1" customFormat="1" ht="13.35" customHeight="1">
      <c r="A12" s="26"/>
      <c r="B12" s="16" t="s">
        <v>27</v>
      </c>
      <c r="C12" s="16" t="s">
        <v>51</v>
      </c>
      <c r="D12" s="19">
        <v>33351</v>
      </c>
      <c r="E12" s="15">
        <v>142.50320199999999</v>
      </c>
      <c r="F12" s="19">
        <v>30605</v>
      </c>
      <c r="G12" s="15">
        <v>139.01417599999999</v>
      </c>
      <c r="H12" s="19">
        <v>30311</v>
      </c>
      <c r="I12" s="15">
        <v>136.97711699999999</v>
      </c>
      <c r="J12" s="19">
        <v>32558</v>
      </c>
      <c r="K12" s="24">
        <v>144.467893</v>
      </c>
    </row>
    <row r="13" spans="1:11" s="1" customFormat="1" ht="13.35" customHeight="1">
      <c r="A13" s="26"/>
      <c r="B13" s="27" t="s">
        <v>28</v>
      </c>
      <c r="C13" s="27" t="s">
        <v>52</v>
      </c>
      <c r="D13" s="19">
        <v>42783</v>
      </c>
      <c r="E13" s="15">
        <v>170.30454599999999</v>
      </c>
      <c r="F13" s="19">
        <v>33301</v>
      </c>
      <c r="G13" s="15">
        <v>151.57043300000001</v>
      </c>
      <c r="H13" s="19">
        <v>31237</v>
      </c>
      <c r="I13" s="15">
        <v>147.35314299999999</v>
      </c>
      <c r="J13" s="19">
        <v>29525</v>
      </c>
      <c r="K13" s="24">
        <v>146.325211</v>
      </c>
    </row>
    <row r="14" spans="1:11" s="1" customFormat="1" ht="13.35" customHeight="1">
      <c r="A14" s="26"/>
      <c r="B14" s="27" t="s">
        <v>29</v>
      </c>
      <c r="C14" s="27" t="s">
        <v>53</v>
      </c>
      <c r="D14" s="19">
        <v>49185</v>
      </c>
      <c r="E14" s="15">
        <v>187.70106799999999</v>
      </c>
      <c r="F14" s="19">
        <v>39779</v>
      </c>
      <c r="G14" s="15">
        <v>171.30782099999999</v>
      </c>
      <c r="H14" s="19">
        <v>33218</v>
      </c>
      <c r="I14" s="15">
        <v>157.23948899999999</v>
      </c>
      <c r="J14" s="19">
        <v>29506</v>
      </c>
      <c r="K14" s="24">
        <v>151.98392100000001</v>
      </c>
    </row>
    <row r="15" spans="1:11" customFormat="1" ht="13.35" customHeight="1">
      <c r="A15" s="26"/>
      <c r="B15" s="27" t="s">
        <v>30</v>
      </c>
      <c r="C15" s="27" t="s">
        <v>54</v>
      </c>
      <c r="D15" s="19">
        <v>61637</v>
      </c>
      <c r="E15" s="15">
        <v>223.56263200000001</v>
      </c>
      <c r="F15" s="19">
        <v>47580</v>
      </c>
      <c r="G15" s="15">
        <v>196.566327</v>
      </c>
      <c r="H15" s="19">
        <v>37604</v>
      </c>
      <c r="I15" s="15">
        <v>177.935438</v>
      </c>
      <c r="J15" s="19">
        <v>32274</v>
      </c>
      <c r="K15" s="24">
        <v>168.06440499999999</v>
      </c>
    </row>
    <row r="16" spans="1:11" customFormat="1" ht="13.35" customHeight="1">
      <c r="A16" s="26"/>
      <c r="B16" s="27" t="s">
        <v>31</v>
      </c>
      <c r="C16" s="27" t="s">
        <v>55</v>
      </c>
      <c r="D16" s="19">
        <v>78233</v>
      </c>
      <c r="E16" s="15">
        <v>348.17850900000002</v>
      </c>
      <c r="F16" s="19">
        <v>46696</v>
      </c>
      <c r="G16" s="15">
        <v>200.211061</v>
      </c>
      <c r="H16" s="19">
        <v>44316</v>
      </c>
      <c r="I16" s="15">
        <v>193.189213</v>
      </c>
      <c r="J16" s="19">
        <v>36270</v>
      </c>
      <c r="K16" s="24">
        <v>183.71435700000001</v>
      </c>
    </row>
    <row r="17" spans="1:11" customFormat="1" ht="13.35" customHeight="1">
      <c r="A17" s="26"/>
      <c r="B17" s="27" t="s">
        <v>32</v>
      </c>
      <c r="C17" s="27" t="s">
        <v>56</v>
      </c>
      <c r="D17" s="19">
        <v>59940</v>
      </c>
      <c r="E17" s="15">
        <v>248.30757800000001</v>
      </c>
      <c r="F17" s="19">
        <v>63827</v>
      </c>
      <c r="G17" s="15">
        <v>245.175963</v>
      </c>
      <c r="H17" s="19">
        <v>43568</v>
      </c>
      <c r="I17" s="15">
        <v>200.08758700000001</v>
      </c>
      <c r="J17" s="19">
        <v>41299</v>
      </c>
      <c r="K17" s="24">
        <v>200.31314599999999</v>
      </c>
    </row>
    <row r="18" spans="1:11" customFormat="1" ht="13.35" customHeight="1">
      <c r="A18" s="26"/>
      <c r="B18" s="27" t="s">
        <v>33</v>
      </c>
      <c r="C18" s="27" t="s">
        <v>57</v>
      </c>
      <c r="D18" s="19">
        <v>64568</v>
      </c>
      <c r="E18" s="15">
        <v>258.92110300000002</v>
      </c>
      <c r="F18" s="19">
        <v>72523</v>
      </c>
      <c r="G18" s="15">
        <v>272.789399</v>
      </c>
      <c r="H18" s="19">
        <v>43164</v>
      </c>
      <c r="I18" s="15">
        <v>205.99524500000001</v>
      </c>
      <c r="J18" s="19">
        <v>38929</v>
      </c>
      <c r="K18" s="24">
        <v>201.90070900000001</v>
      </c>
    </row>
    <row r="19" spans="1:11" customFormat="1" ht="13.35" customHeight="1">
      <c r="A19" s="26"/>
      <c r="B19" s="27" t="s">
        <v>34</v>
      </c>
      <c r="C19" s="27" t="s">
        <v>58</v>
      </c>
      <c r="D19" s="19">
        <v>61283</v>
      </c>
      <c r="E19" s="15">
        <v>256.06357300000002</v>
      </c>
      <c r="F19" s="19">
        <v>55016</v>
      </c>
      <c r="G19" s="15">
        <v>242.853846</v>
      </c>
      <c r="H19" s="19">
        <v>58498</v>
      </c>
      <c r="I19" s="15">
        <v>246.432647</v>
      </c>
      <c r="J19" s="19">
        <v>40253</v>
      </c>
      <c r="K19" s="24">
        <v>212.553166</v>
      </c>
    </row>
    <row r="20" spans="1:11" customFormat="1" ht="13.35" customHeight="1">
      <c r="A20" s="26"/>
      <c r="B20" s="27" t="s">
        <v>35</v>
      </c>
      <c r="C20" s="87" t="s">
        <v>59</v>
      </c>
      <c r="D20" s="19">
        <v>188122</v>
      </c>
      <c r="E20" s="15">
        <v>1015.466829</v>
      </c>
      <c r="F20" s="19">
        <v>230720</v>
      </c>
      <c r="G20" s="15">
        <v>1155.6838720000001</v>
      </c>
      <c r="H20" s="19">
        <v>264156</v>
      </c>
      <c r="I20" s="15">
        <v>1248.1707960000001</v>
      </c>
      <c r="J20" s="19">
        <v>256387</v>
      </c>
      <c r="K20" s="24">
        <v>1343.6633300000001</v>
      </c>
    </row>
    <row r="21" spans="1:11" customFormat="1" ht="13.35" customHeight="1">
      <c r="A21" s="26"/>
      <c r="B21" s="27" t="s">
        <v>36</v>
      </c>
      <c r="C21" s="27" t="s">
        <v>60</v>
      </c>
      <c r="D21" s="19">
        <v>180709</v>
      </c>
      <c r="E21" s="15">
        <v>1416.344147</v>
      </c>
      <c r="F21" s="19">
        <v>211753</v>
      </c>
      <c r="G21" s="15">
        <v>1616.5002400000001</v>
      </c>
      <c r="H21" s="19">
        <v>244735</v>
      </c>
      <c r="I21" s="15">
        <v>1752.4614710000001</v>
      </c>
      <c r="J21" s="19">
        <v>278915</v>
      </c>
      <c r="K21" s="24">
        <v>1984.431484</v>
      </c>
    </row>
    <row r="22" spans="1:11" customFormat="1" ht="13.35" customHeight="1">
      <c r="A22" s="26"/>
      <c r="B22" s="27" t="s">
        <v>37</v>
      </c>
      <c r="C22" s="27" t="s">
        <v>61</v>
      </c>
      <c r="D22" s="19">
        <v>93026</v>
      </c>
      <c r="E22" s="15">
        <v>1017.503746</v>
      </c>
      <c r="F22" s="19">
        <v>107800</v>
      </c>
      <c r="G22" s="15">
        <v>1145.0958029999999</v>
      </c>
      <c r="H22" s="19">
        <v>115420</v>
      </c>
      <c r="I22" s="15">
        <v>1215.7368859999999</v>
      </c>
      <c r="J22" s="19">
        <v>128173</v>
      </c>
      <c r="K22" s="24">
        <v>1359.767081</v>
      </c>
    </row>
    <row r="23" spans="1:11" customFormat="1" ht="13.35" customHeight="1">
      <c r="A23" s="26"/>
      <c r="B23" s="27" t="s">
        <v>38</v>
      </c>
      <c r="C23" s="27" t="s">
        <v>62</v>
      </c>
      <c r="D23" s="19">
        <v>53865</v>
      </c>
      <c r="E23" s="15">
        <v>755.06682000000001</v>
      </c>
      <c r="F23" s="19">
        <v>63541</v>
      </c>
      <c r="G23" s="15">
        <v>869.52690399999994</v>
      </c>
      <c r="H23" s="19">
        <v>64940</v>
      </c>
      <c r="I23" s="15">
        <v>916.65750400000002</v>
      </c>
      <c r="J23" s="19">
        <v>71083</v>
      </c>
      <c r="K23" s="24">
        <v>1013.914122</v>
      </c>
    </row>
    <row r="24" spans="1:11" customFormat="1" ht="13.35" customHeight="1">
      <c r="A24" s="26"/>
      <c r="B24" s="27" t="s">
        <v>39</v>
      </c>
      <c r="C24" s="27" t="s">
        <v>63</v>
      </c>
      <c r="D24" s="19">
        <v>57342</v>
      </c>
      <c r="E24" s="15">
        <v>1056.19903</v>
      </c>
      <c r="F24" s="19">
        <v>70797</v>
      </c>
      <c r="G24" s="15">
        <v>1296.6108429999999</v>
      </c>
      <c r="H24" s="19">
        <v>77852</v>
      </c>
      <c r="I24" s="15">
        <v>1459.467774</v>
      </c>
      <c r="J24" s="19">
        <v>87716</v>
      </c>
      <c r="K24" s="24">
        <v>1671.5417440000001</v>
      </c>
    </row>
    <row r="25" spans="1:11" customFormat="1" ht="13.35" customHeight="1">
      <c r="A25" s="26"/>
      <c r="B25" s="27" t="s">
        <v>40</v>
      </c>
      <c r="C25" s="27" t="s">
        <v>64</v>
      </c>
      <c r="D25" s="19">
        <v>20099</v>
      </c>
      <c r="E25" s="15">
        <v>515.40014699999995</v>
      </c>
      <c r="F25" s="19">
        <v>25414</v>
      </c>
      <c r="G25" s="15">
        <v>649.055205</v>
      </c>
      <c r="H25" s="19">
        <v>26999</v>
      </c>
      <c r="I25" s="15">
        <v>746.06131300000004</v>
      </c>
      <c r="J25" s="19">
        <v>31519</v>
      </c>
      <c r="K25" s="24">
        <v>878.817815</v>
      </c>
    </row>
    <row r="26" spans="1:11" customFormat="1" ht="13.35" customHeight="1">
      <c r="A26" s="26"/>
      <c r="B26" s="27" t="s">
        <v>41</v>
      </c>
      <c r="C26" s="27" t="s">
        <v>65</v>
      </c>
      <c r="D26" s="19">
        <v>19035</v>
      </c>
      <c r="E26" s="15">
        <v>645.58022900000003</v>
      </c>
      <c r="F26" s="19">
        <v>23473</v>
      </c>
      <c r="G26" s="15">
        <v>839.61427800000001</v>
      </c>
      <c r="H26" s="19">
        <v>23748</v>
      </c>
      <c r="I26" s="15">
        <v>970.746264</v>
      </c>
      <c r="J26" s="19">
        <v>27965</v>
      </c>
      <c r="K26" s="24">
        <v>1186.0580769999999</v>
      </c>
    </row>
    <row r="27" spans="1:11" customFormat="1" ht="13.35" customHeight="1">
      <c r="A27" s="26"/>
      <c r="B27" s="27" t="s">
        <v>42</v>
      </c>
      <c r="C27" s="27" t="s">
        <v>66</v>
      </c>
      <c r="D27" s="19">
        <v>5672</v>
      </c>
      <c r="E27" s="15">
        <v>342.04447299999998</v>
      </c>
      <c r="F27" s="19">
        <v>6408</v>
      </c>
      <c r="G27" s="15">
        <v>429.74095799999998</v>
      </c>
      <c r="H27" s="19">
        <v>5869</v>
      </c>
      <c r="I27" s="15">
        <v>458.757926</v>
      </c>
      <c r="J27" s="19">
        <v>6960</v>
      </c>
      <c r="K27" s="24">
        <v>555.76082299999996</v>
      </c>
    </row>
    <row r="28" spans="1:11" customFormat="1" ht="13.35" customHeight="1">
      <c r="A28" s="26"/>
      <c r="B28" s="27" t="s">
        <v>43</v>
      </c>
      <c r="C28" s="27" t="s">
        <v>67</v>
      </c>
      <c r="D28" s="19">
        <v>1161</v>
      </c>
      <c r="E28" s="15">
        <v>186.31169800000001</v>
      </c>
      <c r="F28" s="19">
        <v>1117</v>
      </c>
      <c r="G28" s="15">
        <v>166.320132</v>
      </c>
      <c r="H28" s="19">
        <v>961</v>
      </c>
      <c r="I28" s="15">
        <v>195.878478</v>
      </c>
      <c r="J28" s="19">
        <v>1076</v>
      </c>
      <c r="K28" s="24">
        <v>222.27803</v>
      </c>
    </row>
    <row r="29" spans="1:11" customFormat="1" ht="13.35" customHeight="1">
      <c r="A29" s="88"/>
      <c r="B29" s="75" t="s">
        <v>9</v>
      </c>
      <c r="C29" s="89"/>
      <c r="D29" s="20">
        <f t="shared" ref="D29:K29" si="0">SUM(D4:D28)</f>
        <v>1202502</v>
      </c>
      <c r="E29" s="18">
        <f t="shared" si="0"/>
        <v>9347.3776539999999</v>
      </c>
      <c r="F29" s="20">
        <f t="shared" si="0"/>
        <v>1255221</v>
      </c>
      <c r="G29" s="18">
        <f t="shared" si="0"/>
        <v>10342.802408000001</v>
      </c>
      <c r="H29" s="20">
        <f t="shared" si="0"/>
        <v>1259588</v>
      </c>
      <c r="I29" s="18">
        <f t="shared" si="0"/>
        <v>10949.907081000001</v>
      </c>
      <c r="J29" s="20">
        <f t="shared" si="0"/>
        <v>1261103</v>
      </c>
      <c r="K29" s="25">
        <f t="shared" si="0"/>
        <v>12084.504411</v>
      </c>
    </row>
    <row r="30" spans="1:11" s="1" customFormat="1" ht="13.35" customHeight="1"/>
    <row r="31" spans="1:11" customFormat="1" ht="13.35" customHeight="1">
      <c r="F31" s="560" t="s">
        <v>506</v>
      </c>
      <c r="H31" s="1"/>
    </row>
    <row r="32" spans="1:11" customFormat="1" ht="13.35" customHeight="1">
      <c r="H32" s="1"/>
    </row>
    <row r="33" spans="3:11" customFormat="1" ht="13.35" customHeight="1">
      <c r="C33" s="170" t="s">
        <v>257</v>
      </c>
      <c r="D33" s="171">
        <f>A2.7.1!D6-D29</f>
        <v>0</v>
      </c>
      <c r="E33" s="171">
        <f>A2.7.1!E6-E29</f>
        <v>0</v>
      </c>
      <c r="F33" s="171">
        <f>A2.7.1!F6-F29</f>
        <v>0</v>
      </c>
      <c r="G33" s="171">
        <f>A2.7.1!G6-G29</f>
        <v>0</v>
      </c>
      <c r="H33" s="171">
        <f>A2.7.1!H6-H29</f>
        <v>0</v>
      </c>
      <c r="I33" s="171">
        <f>A2.7.1!I6-I29</f>
        <v>0</v>
      </c>
      <c r="J33" s="171">
        <f>A2.7.1!J6-J29</f>
        <v>0</v>
      </c>
      <c r="K33" s="172">
        <f>A2.7.1!K6-K29</f>
        <v>0</v>
      </c>
    </row>
    <row r="34" spans="3:11" customFormat="1" ht="13.35" customHeight="1">
      <c r="H34" s="1"/>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9">
    <pageSetUpPr fitToPage="1"/>
  </sheetPr>
  <dimension ref="A1:J27"/>
  <sheetViews>
    <sheetView showGridLines="0" zoomScaleNormal="100" zoomScaleSheetLayoutView="90" workbookViewId="0"/>
  </sheetViews>
  <sheetFormatPr defaultColWidth="9.140625" defaultRowHeight="12.75"/>
  <cols>
    <col min="1" max="1" width="3.7109375" style="54" customWidth="1"/>
    <col min="2" max="2" width="9.5703125" style="55" customWidth="1"/>
    <col min="3" max="4" width="12.7109375" style="55" customWidth="1"/>
    <col min="5" max="5" width="7.85546875" style="55" customWidth="1"/>
    <col min="6" max="7" width="12.7109375" style="55" customWidth="1"/>
    <col min="8" max="8" width="12.7109375" style="56" customWidth="1"/>
    <col min="9" max="16384" width="9.140625" style="57"/>
  </cols>
  <sheetData>
    <row r="1" spans="1:10" s="54" customFormat="1" ht="15" customHeight="1">
      <c r="B1" s="463" t="s">
        <v>431</v>
      </c>
      <c r="C1" s="83"/>
      <c r="D1" s="83"/>
      <c r="E1" s="83"/>
      <c r="F1" s="83"/>
      <c r="G1" s="83"/>
      <c r="H1" s="64"/>
    </row>
    <row r="2" spans="1:10" s="54" customFormat="1" ht="33.75">
      <c r="A2" s="464"/>
      <c r="B2" s="517" t="s">
        <v>462</v>
      </c>
      <c r="C2" s="514" t="s">
        <v>197</v>
      </c>
      <c r="D2" s="510" t="s">
        <v>184</v>
      </c>
      <c r="E2" s="509" t="s">
        <v>183</v>
      </c>
      <c r="F2" s="509" t="s">
        <v>198</v>
      </c>
      <c r="G2" s="509" t="s">
        <v>91</v>
      </c>
      <c r="H2" s="510" t="s">
        <v>199</v>
      </c>
    </row>
    <row r="3" spans="1:10" s="54" customFormat="1" ht="13.35" hidden="1" customHeight="1">
      <c r="A3" s="464"/>
      <c r="B3" s="518">
        <v>2006</v>
      </c>
      <c r="C3" s="515">
        <v>4476261</v>
      </c>
      <c r="D3" s="249"/>
      <c r="E3" s="511">
        <v>2006</v>
      </c>
      <c r="F3" s="200"/>
      <c r="G3" s="200"/>
      <c r="H3" s="249"/>
    </row>
    <row r="4" spans="1:10" s="54" customFormat="1" ht="13.35" hidden="1" customHeight="1">
      <c r="A4" s="464"/>
      <c r="B4" s="518">
        <v>2007</v>
      </c>
      <c r="C4" s="515">
        <v>4764105</v>
      </c>
      <c r="D4" s="249">
        <f>C4/C3-1</f>
        <v>6.4304561329198595E-2</v>
      </c>
      <c r="E4" s="511">
        <v>2007</v>
      </c>
      <c r="F4" s="200">
        <v>4191757</v>
      </c>
      <c r="G4" s="200">
        <v>4068691</v>
      </c>
      <c r="H4" s="249">
        <f t="shared" ref="H4:H8" si="0">G4/F4</f>
        <v>0.97064095079939028</v>
      </c>
    </row>
    <row r="5" spans="1:10" s="54" customFormat="1" ht="13.35" customHeight="1">
      <c r="A5" s="464"/>
      <c r="B5" s="519">
        <v>39538</v>
      </c>
      <c r="C5" s="515">
        <v>5204805</v>
      </c>
      <c r="D5" s="249">
        <f>C5/C4-1</f>
        <v>9.2504258407402951E-2</v>
      </c>
      <c r="E5" s="512">
        <v>2008</v>
      </c>
      <c r="F5" s="200">
        <v>4298718</v>
      </c>
      <c r="G5" s="200">
        <f>A2.1.1!D$29</f>
        <v>4123231</v>
      </c>
      <c r="H5" s="249">
        <f t="shared" si="0"/>
        <v>0.95917689878703372</v>
      </c>
    </row>
    <row r="6" spans="1:10" s="54" customFormat="1" ht="13.35" customHeight="1">
      <c r="A6" s="464"/>
      <c r="B6" s="519">
        <v>39903</v>
      </c>
      <c r="C6" s="515">
        <v>5540646</v>
      </c>
      <c r="D6" s="249">
        <f>C6/C5-1</f>
        <v>6.4525183940608688E-2</v>
      </c>
      <c r="E6" s="512">
        <v>2009</v>
      </c>
      <c r="F6" s="200">
        <v>4561541</v>
      </c>
      <c r="G6" s="200">
        <f>A2.1.1!G$29</f>
        <v>4420407</v>
      </c>
      <c r="H6" s="249">
        <f t="shared" si="0"/>
        <v>0.96906001721786561</v>
      </c>
    </row>
    <row r="7" spans="1:10" s="54" customFormat="1" ht="13.35" customHeight="1">
      <c r="A7" s="464"/>
      <c r="B7" s="519">
        <v>40268</v>
      </c>
      <c r="C7" s="515">
        <v>5920612</v>
      </c>
      <c r="D7" s="249">
        <f>C7/C6-1</f>
        <v>6.8577923946052444E-2</v>
      </c>
      <c r="E7" s="512">
        <v>2010</v>
      </c>
      <c r="F7" s="200">
        <v>4766975</v>
      </c>
      <c r="G7" s="200">
        <f>A2.1.1!J$29</f>
        <v>4584519</v>
      </c>
      <c r="H7" s="249">
        <f t="shared" si="0"/>
        <v>0.96172499331336958</v>
      </c>
    </row>
    <row r="8" spans="1:10" s="54" customFormat="1" ht="13.35" customHeight="1">
      <c r="A8" s="464"/>
      <c r="B8" s="520">
        <v>40633</v>
      </c>
      <c r="C8" s="516">
        <v>10346175</v>
      </c>
      <c r="D8" s="250">
        <f>C8/C7-1</f>
        <v>0.74748404387924761</v>
      </c>
      <c r="E8" s="513" t="s">
        <v>430</v>
      </c>
      <c r="F8" s="201">
        <v>4805206</v>
      </c>
      <c r="G8" s="201">
        <f>A2.1.1!M$29</f>
        <v>4522692</v>
      </c>
      <c r="H8" s="250">
        <f t="shared" si="0"/>
        <v>0.94120668291848464</v>
      </c>
      <c r="J8" s="406"/>
    </row>
    <row r="9" spans="1:10" s="64" customFormat="1" ht="12" customHeight="1">
      <c r="B9" s="29" t="s">
        <v>103</v>
      </c>
    </row>
    <row r="10" spans="1:10" s="64" customFormat="1" ht="12" customHeight="1">
      <c r="B10" s="29" t="s">
        <v>356</v>
      </c>
    </row>
    <row r="11" spans="1:10" s="64" customFormat="1" ht="13.35" customHeight="1">
      <c r="B11" s="29" t="s">
        <v>357</v>
      </c>
    </row>
    <row r="12" spans="1:10" s="64" customFormat="1" ht="13.35" customHeight="1">
      <c r="B12" s="29" t="s">
        <v>504</v>
      </c>
    </row>
    <row r="13" spans="1:10" s="64" customFormat="1" ht="13.35" customHeight="1"/>
    <row r="14" spans="1:10" s="64" customFormat="1" ht="13.35" customHeight="1">
      <c r="D14" s="560" t="s">
        <v>506</v>
      </c>
    </row>
    <row r="15" spans="1:10" s="54" customFormat="1" ht="13.35" customHeight="1"/>
    <row r="16" spans="1:10" s="54" customFormat="1" ht="13.35" customHeight="1"/>
    <row r="17" spans="3:7" s="54" customFormat="1" ht="13.35" customHeight="1"/>
    <row r="18" spans="3:7" s="54" customFormat="1" ht="13.35" customHeight="1"/>
    <row r="19" spans="3:7" s="54" customFormat="1" ht="13.35" customHeight="1"/>
    <row r="20" spans="3:7" s="54" customFormat="1" ht="13.35" customHeight="1">
      <c r="C20" s="587"/>
      <c r="D20" s="588"/>
      <c r="E20" s="588"/>
      <c r="F20" s="589">
        <f>F5/F4-1</f>
        <v>2.5516984882473004E-2</v>
      </c>
      <c r="G20" s="590">
        <f>G5/G4-1</f>
        <v>1.3404802674865213E-2</v>
      </c>
    </row>
    <row r="21" spans="3:7" s="54" customFormat="1" ht="13.35" customHeight="1">
      <c r="C21" s="587"/>
      <c r="D21" s="588"/>
      <c r="E21" s="588"/>
      <c r="F21" s="591">
        <f t="shared" ref="F21:G23" si="1">F6/F5-1</f>
        <v>6.1139856115241864E-2</v>
      </c>
      <c r="G21" s="592">
        <f t="shared" si="1"/>
        <v>7.2073575310236171E-2</v>
      </c>
    </row>
    <row r="22" spans="3:7" s="54" customFormat="1" ht="13.35" customHeight="1">
      <c r="C22" s="587"/>
      <c r="D22" s="588"/>
      <c r="E22" s="588"/>
      <c r="F22" s="591">
        <f t="shared" si="1"/>
        <v>4.5036096354280186E-2</v>
      </c>
      <c r="G22" s="592">
        <f t="shared" si="1"/>
        <v>3.7125993149499603E-2</v>
      </c>
    </row>
    <row r="23" spans="3:7" s="54" customFormat="1" ht="13.35" customHeight="1">
      <c r="C23" s="588"/>
      <c r="D23" s="588"/>
      <c r="E23" s="588"/>
      <c r="F23" s="593">
        <f t="shared" si="1"/>
        <v>8.0199707361585659E-3</v>
      </c>
      <c r="G23" s="594">
        <f t="shared" si="1"/>
        <v>-1.3486038557152913E-2</v>
      </c>
    </row>
    <row r="24" spans="3:7" s="54" customFormat="1" ht="13.35" customHeight="1">
      <c r="C24" s="595">
        <f>C4-C3</f>
        <v>287844</v>
      </c>
      <c r="D24" s="588"/>
      <c r="E24" s="588"/>
      <c r="F24" s="596">
        <f>F4-F3</f>
        <v>4191757</v>
      </c>
      <c r="G24" s="597">
        <f>G4-G3</f>
        <v>4068691</v>
      </c>
    </row>
    <row r="25" spans="3:7" s="54" customFormat="1" ht="13.35" customHeight="1">
      <c r="C25" s="595">
        <f>C5-C4</f>
        <v>440700</v>
      </c>
      <c r="D25" s="588"/>
      <c r="E25" s="588"/>
      <c r="F25" s="598">
        <f>F5-F4</f>
        <v>106961</v>
      </c>
      <c r="G25" s="599">
        <f>G5-G4</f>
        <v>54540</v>
      </c>
    </row>
    <row r="26" spans="3:7" s="54" customFormat="1" ht="13.35" customHeight="1">
      <c r="C26" s="595">
        <f>C6-C5</f>
        <v>335841</v>
      </c>
      <c r="D26" s="588"/>
      <c r="E26" s="588"/>
      <c r="F26" s="598">
        <f t="shared" ref="F26:G27" si="2">F6-F5</f>
        <v>262823</v>
      </c>
      <c r="G26" s="599">
        <f t="shared" si="2"/>
        <v>297176</v>
      </c>
    </row>
    <row r="27" spans="3:7">
      <c r="C27" s="595">
        <f>C7-C6</f>
        <v>379966</v>
      </c>
      <c r="F27" s="600">
        <f t="shared" si="2"/>
        <v>205434</v>
      </c>
      <c r="G27" s="601">
        <f t="shared" si="2"/>
        <v>164112</v>
      </c>
    </row>
  </sheetData>
  <hyperlinks>
    <hyperlink ref="D14"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ignoredErrors>
    <ignoredError sqref="E8" numberStoredAsText="1"/>
  </ignoredErrors>
</worksheet>
</file>

<file path=xl/worksheets/sheet50.xml><?xml version="1.0" encoding="utf-8"?>
<worksheet xmlns="http://schemas.openxmlformats.org/spreadsheetml/2006/main" xmlns:r="http://schemas.openxmlformats.org/officeDocument/2006/relationships">
  <sheetPr codeName="Sheet46"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498</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97</v>
      </c>
      <c r="F3" s="32" t="s">
        <v>18</v>
      </c>
      <c r="G3" s="134" t="s">
        <v>97</v>
      </c>
      <c r="H3" s="32" t="s">
        <v>18</v>
      </c>
      <c r="I3" s="134" t="s">
        <v>97</v>
      </c>
      <c r="J3" s="33" t="s">
        <v>18</v>
      </c>
      <c r="K3" s="86" t="s">
        <v>97</v>
      </c>
    </row>
    <row r="4" spans="1:11" ht="13.35" customHeight="1">
      <c r="A4" s="49"/>
      <c r="B4" s="16" t="s">
        <v>19</v>
      </c>
      <c r="C4" s="16" t="s">
        <v>44</v>
      </c>
      <c r="D4" s="62">
        <f>A2.7.3!D4/A2.7.3!D$29</f>
        <v>4.1521760462768457E-3</v>
      </c>
      <c r="E4" s="58">
        <f>A2.7.3!E4/A2.7.3!E$29</f>
        <v>2.2677100235625079E-3</v>
      </c>
      <c r="F4" s="62">
        <f>A2.7.3!F4/A2.7.3!F$29</f>
        <v>4.0638262106832187E-3</v>
      </c>
      <c r="G4" s="58">
        <f>A2.7.3!G4/A2.7.3!G$29</f>
        <v>2.3271512932880535E-3</v>
      </c>
      <c r="H4" s="62">
        <f>A2.7.3!H4/A2.7.3!H$29</f>
        <v>3.7933038422087221E-3</v>
      </c>
      <c r="I4" s="58">
        <f>A2.7.3!I4/A2.7.3!I$29</f>
        <v>1.9857852527104926E-3</v>
      </c>
      <c r="J4" s="62">
        <f>A2.7.3!J4/A2.7.3!J$29</f>
        <v>3.4501543490103505E-3</v>
      </c>
      <c r="K4" s="59">
        <f>A2.7.3!K4/A2.7.3!K$29</f>
        <v>1.7193259477887577E-3</v>
      </c>
    </row>
    <row r="5" spans="1:11" ht="13.35" customHeight="1">
      <c r="A5" s="49"/>
      <c r="B5" s="16" t="s">
        <v>20</v>
      </c>
      <c r="C5" s="50" t="s">
        <v>137</v>
      </c>
      <c r="D5" s="62">
        <f>A2.7.3!D5/A2.7.3!D$29</f>
        <v>1.0328465150161912E-3</v>
      </c>
      <c r="E5" s="58">
        <f>A2.7.3!E5/A2.7.3!E$29</f>
        <v>3.0275796108323151E-4</v>
      </c>
      <c r="F5" s="62">
        <f>A2.7.3!F5/A2.7.3!F$29</f>
        <v>9.0103655053572239E-4</v>
      </c>
      <c r="G5" s="58">
        <f>A2.7.3!G5/A2.7.3!G$29</f>
        <v>2.4318486429311662E-4</v>
      </c>
      <c r="H5" s="62">
        <f>A2.7.3!H5/A2.7.3!H$29</f>
        <v>8.7647707028012337E-4</v>
      </c>
      <c r="I5" s="58">
        <f>A2.7.3!I5/A2.7.3!I$29</f>
        <v>2.002271785305207E-4</v>
      </c>
      <c r="J5" s="62">
        <f>A2.7.3!J5/A2.7.3!J$29</f>
        <v>7.3824263363103573E-4</v>
      </c>
      <c r="K5" s="59">
        <f>A2.7.3!K5/A2.7.3!K$29</f>
        <v>1.8656644272046184E-4</v>
      </c>
    </row>
    <row r="6" spans="1:11" ht="13.35" customHeight="1">
      <c r="A6" s="49"/>
      <c r="B6" s="16" t="s">
        <v>21</v>
      </c>
      <c r="C6" s="16" t="s">
        <v>45</v>
      </c>
      <c r="D6" s="62">
        <f>A2.7.3!D6/A2.7.3!D$29</f>
        <v>1.3137608087138316E-2</v>
      </c>
      <c r="E6" s="58">
        <f>A2.7.3!E6/A2.7.3!E$29</f>
        <v>6.008535236186361E-3</v>
      </c>
      <c r="F6" s="62">
        <f>A2.7.3!F6/A2.7.3!F$29</f>
        <v>1.1558920700020155E-2</v>
      </c>
      <c r="G6" s="58">
        <f>A2.7.3!G6/A2.7.3!G$29</f>
        <v>5.2018104840120998E-3</v>
      </c>
      <c r="H6" s="62">
        <f>A2.7.3!H6/A2.7.3!H$29</f>
        <v>1.0691591218715961E-2</v>
      </c>
      <c r="I6" s="58">
        <f>A2.7.3!I6/A2.7.3!I$29</f>
        <v>4.5992319046602144E-3</v>
      </c>
      <c r="J6" s="62">
        <f>A2.7.3!J6/A2.7.3!J$29</f>
        <v>8.7843736792315927E-3</v>
      </c>
      <c r="K6" s="59">
        <f>A2.7.3!K6/A2.7.3!K$29</f>
        <v>3.5797324018205451E-3</v>
      </c>
    </row>
    <row r="7" spans="1:11" ht="13.35" customHeight="1">
      <c r="A7" s="49"/>
      <c r="B7" s="16" t="s">
        <v>22</v>
      </c>
      <c r="C7" s="16" t="s">
        <v>46</v>
      </c>
      <c r="D7" s="62">
        <f>A2.7.3!D7/A2.7.3!D$29</f>
        <v>9.4918761049877665E-3</v>
      </c>
      <c r="E7" s="58">
        <f>A2.7.3!E7/A2.7.3!E$29</f>
        <v>5.0797127020626104E-3</v>
      </c>
      <c r="F7" s="62">
        <f>A2.7.3!F7/A2.7.3!F$29</f>
        <v>8.5690089633618308E-3</v>
      </c>
      <c r="G7" s="58">
        <f>A2.7.3!G7/A2.7.3!G$29</f>
        <v>4.6014314228016717E-3</v>
      </c>
      <c r="H7" s="62">
        <f>A2.7.3!H7/A2.7.3!H$29</f>
        <v>7.4873688856991333E-3</v>
      </c>
      <c r="I7" s="58">
        <f>A2.7.3!I7/A2.7.3!I$29</f>
        <v>3.8551940840894148E-3</v>
      </c>
      <c r="J7" s="62">
        <f>A2.7.3!J7/A2.7.3!J$29</f>
        <v>6.1406562350577237E-3</v>
      </c>
      <c r="K7" s="59">
        <f>A2.7.3!K7/A2.7.3!K$29</f>
        <v>2.9677466100599694E-3</v>
      </c>
    </row>
    <row r="8" spans="1:11" ht="13.35" customHeight="1">
      <c r="A8" s="49"/>
      <c r="B8" s="16" t="s">
        <v>23</v>
      </c>
      <c r="C8" s="16" t="s">
        <v>47</v>
      </c>
      <c r="D8" s="62">
        <f>A2.7.3!D8/A2.7.3!D$29</f>
        <v>1.4062346673851686E-2</v>
      </c>
      <c r="E8" s="58">
        <f>A2.7.3!E8/A2.7.3!E$29</f>
        <v>8.4392638149420381E-3</v>
      </c>
      <c r="F8" s="62">
        <f>A2.7.3!F8/A2.7.3!F$29</f>
        <v>1.129601878872326E-2</v>
      </c>
      <c r="G8" s="58">
        <f>A2.7.3!G8/A2.7.3!G$29</f>
        <v>6.9303235402193705E-3</v>
      </c>
      <c r="H8" s="62">
        <f>A2.7.3!H8/A2.7.3!H$29</f>
        <v>9.2014214171618029E-3</v>
      </c>
      <c r="I8" s="58">
        <f>A2.7.3!I8/A2.7.3!I$29</f>
        <v>5.5142795782049427E-3</v>
      </c>
      <c r="J8" s="62">
        <f>A2.7.3!J8/A2.7.3!J$29</f>
        <v>7.6464808980709741E-3</v>
      </c>
      <c r="K8" s="59">
        <f>A2.7.3!K8/A2.7.3!K$29</f>
        <v>4.3069882909408455E-3</v>
      </c>
    </row>
    <row r="9" spans="1:11" ht="13.35" customHeight="1">
      <c r="A9" s="49"/>
      <c r="B9" s="16" t="s">
        <v>24</v>
      </c>
      <c r="C9" s="16" t="s">
        <v>48</v>
      </c>
      <c r="D9" s="62">
        <f>A2.7.3!D9/A2.7.3!D$29</f>
        <v>2.0784165015941762E-2</v>
      </c>
      <c r="E9" s="58">
        <f>A2.7.3!E9/A2.7.3!E$29</f>
        <v>1.1685876835548255E-2</v>
      </c>
      <c r="F9" s="62">
        <f>A2.7.3!F9/A2.7.3!F$29</f>
        <v>1.7637531558187761E-2</v>
      </c>
      <c r="G9" s="58">
        <f>A2.7.3!G9/A2.7.3!G$29</f>
        <v>1.0594767131511846E-2</v>
      </c>
      <c r="H9" s="62">
        <f>A2.7.3!H9/A2.7.3!H$29</f>
        <v>1.272003226451824E-2</v>
      </c>
      <c r="I9" s="58">
        <f>A2.7.3!I9/A2.7.3!I$29</f>
        <v>8.082204656655205E-3</v>
      </c>
      <c r="J9" s="62">
        <f>A2.7.3!J9/A2.7.3!J$29</f>
        <v>9.9753945554011056E-3</v>
      </c>
      <c r="K9" s="59">
        <f>A2.7.3!K9/A2.7.3!K$29</f>
        <v>6.0956701652529191E-3</v>
      </c>
    </row>
    <row r="10" spans="1:11" s="51" customFormat="1" ht="13.35" customHeight="1">
      <c r="A10" s="49"/>
      <c r="B10" s="16" t="s">
        <v>25</v>
      </c>
      <c r="C10" s="16" t="s">
        <v>49</v>
      </c>
      <c r="D10" s="62">
        <f>A2.7.3!D10/A2.7.3!D$29</f>
        <v>2.2852352844319593E-2</v>
      </c>
      <c r="E10" s="58">
        <f>A2.7.3!E10/A2.7.3!E$29</f>
        <v>1.2454982168199877E-2</v>
      </c>
      <c r="F10" s="62">
        <f>A2.7.3!F10/A2.7.3!F$29</f>
        <v>2.2168207829537587E-2</v>
      </c>
      <c r="G10" s="58">
        <f>A2.7.3!G10/A2.7.3!G$29</f>
        <v>1.1410218946918895E-2</v>
      </c>
      <c r="H10" s="62">
        <f>A2.7.3!H10/A2.7.3!H$29</f>
        <v>1.9784246912482494E-2</v>
      </c>
      <c r="I10" s="58">
        <f>A2.7.3!I10/A2.7.3!I$29</f>
        <v>1.137799627689827E-2</v>
      </c>
      <c r="J10" s="62">
        <f>A2.7.3!J10/A2.7.3!J$29</f>
        <v>1.5245384397626523E-2</v>
      </c>
      <c r="K10" s="59">
        <f>A2.7.3!K10/A2.7.3!K$29</f>
        <v>9.0335881627574676E-3</v>
      </c>
    </row>
    <row r="11" spans="1:11" s="1" customFormat="1" ht="13.35" customHeight="1">
      <c r="A11" s="26"/>
      <c r="B11" s="16" t="s">
        <v>26</v>
      </c>
      <c r="C11" s="16" t="s">
        <v>50</v>
      </c>
      <c r="D11" s="62">
        <f>A2.7.3!D11/A2.7.3!D$29</f>
        <v>2.4666071241461553E-2</v>
      </c>
      <c r="E11" s="58">
        <f>A2.7.3!E11/A2.7.3!E$29</f>
        <v>1.3876237892720109E-2</v>
      </c>
      <c r="F11" s="62">
        <f>A2.7.3!F11/A2.7.3!F$29</f>
        <v>2.3286735961237103E-2</v>
      </c>
      <c r="G11" s="58">
        <f>A2.7.3!G11/A2.7.3!G$29</f>
        <v>1.2367584621075166E-2</v>
      </c>
      <c r="H11" s="62">
        <f>A2.7.3!H11/A2.7.3!H$29</f>
        <v>2.5151081147168755E-2</v>
      </c>
      <c r="I11" s="58">
        <f>A2.7.3!I11/A2.7.3!I$29</f>
        <v>1.1943365001418498E-2</v>
      </c>
      <c r="J11" s="62">
        <f>A2.7.3!J11/A2.7.3!J$29</f>
        <v>1.9936515891247581E-2</v>
      </c>
      <c r="K11" s="59">
        <f>A2.7.3!K11/A2.7.3!K$29</f>
        <v>1.0088695477575758E-2</v>
      </c>
    </row>
    <row r="12" spans="1:11" s="1" customFormat="1" ht="13.35" customHeight="1">
      <c r="A12" s="26"/>
      <c r="B12" s="16" t="s">
        <v>27</v>
      </c>
      <c r="C12" s="16" t="s">
        <v>51</v>
      </c>
      <c r="D12" s="62">
        <f>A2.7.3!D12/A2.7.3!D$29</f>
        <v>2.7734673206364729E-2</v>
      </c>
      <c r="E12" s="58">
        <f>A2.7.3!E12/A2.7.3!E$29</f>
        <v>1.5245259930095897E-2</v>
      </c>
      <c r="F12" s="62">
        <f>A2.7.3!F12/A2.7.3!F$29</f>
        <v>2.4382160591640833E-2</v>
      </c>
      <c r="G12" s="58">
        <f>A2.7.3!G12/A2.7.3!G$29</f>
        <v>1.3440668255682292E-2</v>
      </c>
      <c r="H12" s="62">
        <f>A2.7.3!H12/A2.7.3!H$29</f>
        <v>2.4064217823605814E-2</v>
      </c>
      <c r="I12" s="58">
        <f>A2.7.3!I12/A2.7.3!I$29</f>
        <v>1.2509431905379287E-2</v>
      </c>
      <c r="J12" s="62">
        <f>A2.7.3!J12/A2.7.3!J$29</f>
        <v>2.5817082347754306E-2</v>
      </c>
      <c r="K12" s="59">
        <f>A2.7.3!K12/A2.7.3!K$29</f>
        <v>1.1954804937511309E-2</v>
      </c>
    </row>
    <row r="13" spans="1:11" s="1" customFormat="1" ht="13.35" customHeight="1">
      <c r="A13" s="26"/>
      <c r="B13" s="27" t="s">
        <v>28</v>
      </c>
      <c r="C13" s="27" t="s">
        <v>52</v>
      </c>
      <c r="D13" s="62">
        <f>A2.7.3!D13/A2.7.3!D$29</f>
        <v>3.5578319204458704E-2</v>
      </c>
      <c r="E13" s="58">
        <f>A2.7.3!E13/A2.7.3!E$29</f>
        <v>1.821949987514648E-2</v>
      </c>
      <c r="F13" s="62">
        <f>A2.7.3!F13/A2.7.3!F$29</f>
        <v>2.6529989539690619E-2</v>
      </c>
      <c r="G13" s="58">
        <f>A2.7.3!G13/A2.7.3!G$29</f>
        <v>1.4654677428891281E-2</v>
      </c>
      <c r="H13" s="62">
        <f>A2.7.3!H13/A2.7.3!H$29</f>
        <v>2.4799378844511062E-2</v>
      </c>
      <c r="I13" s="58">
        <f>A2.7.3!I13/A2.7.3!I$29</f>
        <v>1.3457022229502147E-2</v>
      </c>
      <c r="J13" s="62">
        <f>A2.7.3!J13/A2.7.3!J$29</f>
        <v>2.3412044852799494E-2</v>
      </c>
      <c r="K13" s="59">
        <f>A2.7.3!K13/A2.7.3!K$29</f>
        <v>1.2108499117829482E-2</v>
      </c>
    </row>
    <row r="14" spans="1:11" s="1" customFormat="1" ht="13.35" customHeight="1">
      <c r="A14" s="26"/>
      <c r="B14" s="27" t="s">
        <v>29</v>
      </c>
      <c r="C14" s="27" t="s">
        <v>53</v>
      </c>
      <c r="D14" s="62">
        <f>A2.7.3!D14/A2.7.3!D$29</f>
        <v>4.0902218873648442E-2</v>
      </c>
      <c r="E14" s="58">
        <f>A2.7.3!E14/A2.7.3!E$29</f>
        <v>2.008061243996893E-2</v>
      </c>
      <c r="F14" s="62">
        <f>A2.7.3!F14/A2.7.3!F$29</f>
        <v>3.169083372569452E-2</v>
      </c>
      <c r="G14" s="58">
        <f>A2.7.3!G14/A2.7.3!G$29</f>
        <v>1.6562998522285988E-2</v>
      </c>
      <c r="H14" s="62">
        <f>A2.7.3!H14/A2.7.3!H$29</f>
        <v>2.6372115326598857E-2</v>
      </c>
      <c r="I14" s="58">
        <f>A2.7.3!I14/A2.7.3!I$29</f>
        <v>1.4359892539438798E-2</v>
      </c>
      <c r="J14" s="62">
        <f>A2.7.3!J14/A2.7.3!J$29</f>
        <v>2.3396978676602943E-2</v>
      </c>
      <c r="K14" s="59">
        <f>A2.7.3!K14/A2.7.3!K$29</f>
        <v>1.2576760769904279E-2</v>
      </c>
    </row>
    <row r="15" spans="1:11" customFormat="1" ht="13.35" customHeight="1">
      <c r="A15" s="26"/>
      <c r="B15" s="27" t="s">
        <v>30</v>
      </c>
      <c r="C15" s="27" t="s">
        <v>54</v>
      </c>
      <c r="D15" s="62">
        <f>A2.7.3!D15/A2.7.3!D$29</f>
        <v>5.1257295206161818E-2</v>
      </c>
      <c r="E15" s="58">
        <f>A2.7.3!E15/A2.7.3!E$29</f>
        <v>2.3917149844088242E-2</v>
      </c>
      <c r="F15" s="62">
        <f>A2.7.3!F15/A2.7.3!F$29</f>
        <v>3.7905675574261423E-2</v>
      </c>
      <c r="G15" s="58">
        <f>A2.7.3!G15/A2.7.3!G$29</f>
        <v>1.9005132192021663E-2</v>
      </c>
      <c r="H15" s="62">
        <f>A2.7.3!H15/A2.7.3!H$29</f>
        <v>2.9854206296026954E-2</v>
      </c>
      <c r="I15" s="58">
        <f>A2.7.3!I15/A2.7.3!I$29</f>
        <v>1.6249949582563036E-2</v>
      </c>
      <c r="J15" s="62">
        <f>A2.7.3!J15/A2.7.3!J$29</f>
        <v>2.5591882661447955E-2</v>
      </c>
      <c r="K15" s="59">
        <f>A2.7.3!K15/A2.7.3!K$29</f>
        <v>1.3907430481552744E-2</v>
      </c>
    </row>
    <row r="16" spans="1:11" customFormat="1" ht="13.35" customHeight="1">
      <c r="A16" s="26"/>
      <c r="B16" s="27" t="s">
        <v>31</v>
      </c>
      <c r="C16" s="27" t="s">
        <v>55</v>
      </c>
      <c r="D16" s="62">
        <f>A2.7.3!D16/A2.7.3!D$29</f>
        <v>6.5058519653189761E-2</v>
      </c>
      <c r="E16" s="58">
        <f>A2.7.3!E16/A2.7.3!E$29</f>
        <v>3.7248790183523277E-2</v>
      </c>
      <c r="F16" s="62">
        <f>A2.7.3!F16/A2.7.3!F$29</f>
        <v>3.7201417120969138E-2</v>
      </c>
      <c r="G16" s="58">
        <f>A2.7.3!G16/A2.7.3!G$29</f>
        <v>1.9357525465742223E-2</v>
      </c>
      <c r="H16" s="62">
        <f>A2.7.3!H16/A2.7.3!H$29</f>
        <v>3.5182932832005388E-2</v>
      </c>
      <c r="I16" s="58">
        <f>A2.7.3!I16/A2.7.3!I$29</f>
        <v>1.764300021643261E-2</v>
      </c>
      <c r="J16" s="62">
        <f>A2.7.3!J16/A2.7.3!J$29</f>
        <v>2.8760537402575365E-2</v>
      </c>
      <c r="K16" s="59">
        <f>A2.7.3!K16/A2.7.3!K$29</f>
        <v>1.5202473411551143E-2</v>
      </c>
    </row>
    <row r="17" spans="1:11" customFormat="1" ht="13.35" customHeight="1">
      <c r="A17" s="26"/>
      <c r="B17" s="27" t="s">
        <v>32</v>
      </c>
      <c r="C17" s="27" t="s">
        <v>56</v>
      </c>
      <c r="D17" s="62">
        <f>A2.7.3!D17/A2.7.3!D$29</f>
        <v>4.9846070942085749E-2</v>
      </c>
      <c r="E17" s="58">
        <f>A2.7.3!E17/A2.7.3!E$29</f>
        <v>2.6564410596349702E-2</v>
      </c>
      <c r="F17" s="62">
        <f>A2.7.3!F17/A2.7.3!F$29</f>
        <v>5.0849213007111892E-2</v>
      </c>
      <c r="G17" s="58">
        <f>A2.7.3!G17/A2.7.3!G$29</f>
        <v>2.3704983748926701E-2</v>
      </c>
      <c r="H17" s="62">
        <f>A2.7.3!H17/A2.7.3!H$29</f>
        <v>3.4589087860475015E-2</v>
      </c>
      <c r="I17" s="58">
        <f>A2.7.3!I17/A2.7.3!I$29</f>
        <v>1.8272994055555675E-2</v>
      </c>
      <c r="J17" s="62">
        <f>A2.7.3!J17/A2.7.3!J$29</f>
        <v>3.2748316354810035E-2</v>
      </c>
      <c r="K17" s="59">
        <f>A2.7.3!K17/A2.7.3!K$29</f>
        <v>1.6576033173330933E-2</v>
      </c>
    </row>
    <row r="18" spans="1:11" customFormat="1" ht="13.35" customHeight="1">
      <c r="A18" s="26"/>
      <c r="B18" s="27" t="s">
        <v>33</v>
      </c>
      <c r="C18" s="27" t="s">
        <v>57</v>
      </c>
      <c r="D18" s="62">
        <f>A2.7.3!D18/A2.7.3!D$29</f>
        <v>5.3694713189666211E-2</v>
      </c>
      <c r="E18" s="58">
        <f>A2.7.3!E18/A2.7.3!E$29</f>
        <v>2.7699865415109291E-2</v>
      </c>
      <c r="F18" s="62">
        <f>A2.7.3!F18/A2.7.3!F$29</f>
        <v>5.777707670601432E-2</v>
      </c>
      <c r="G18" s="58">
        <f>A2.7.3!G18/A2.7.3!G$29</f>
        <v>2.637480522580626E-2</v>
      </c>
      <c r="H18" s="62">
        <f>A2.7.3!H18/A2.7.3!H$29</f>
        <v>3.4268348063017429E-2</v>
      </c>
      <c r="I18" s="58">
        <f>A2.7.3!I18/A2.7.3!I$29</f>
        <v>1.8812510779880286E-2</v>
      </c>
      <c r="J18" s="62">
        <f>A2.7.3!J18/A2.7.3!J$29</f>
        <v>3.0869009113450686E-2</v>
      </c>
      <c r="K18" s="59">
        <f>A2.7.3!K18/A2.7.3!K$29</f>
        <v>1.6707404965338797E-2</v>
      </c>
    </row>
    <row r="19" spans="1:11" customFormat="1" ht="13.35" customHeight="1">
      <c r="A19" s="26"/>
      <c r="B19" s="27" t="s">
        <v>34</v>
      </c>
      <c r="C19" s="27" t="s">
        <v>58</v>
      </c>
      <c r="D19" s="62">
        <f>A2.7.3!D19/A2.7.3!D$29</f>
        <v>5.096290900139875E-2</v>
      </c>
      <c r="E19" s="58">
        <f>A2.7.3!E19/A2.7.3!E$29</f>
        <v>2.739416149409812E-2</v>
      </c>
      <c r="F19" s="62">
        <f>A2.7.3!F19/A2.7.3!F$29</f>
        <v>4.3829731975484794E-2</v>
      </c>
      <c r="G19" s="58">
        <f>A2.7.3!G19/A2.7.3!G$29</f>
        <v>2.3480468486196376E-2</v>
      </c>
      <c r="H19" s="62">
        <f>A2.7.3!H19/A2.7.3!H$29</f>
        <v>4.6442169979390088E-2</v>
      </c>
      <c r="I19" s="58">
        <f>A2.7.3!I19/A2.7.3!I$29</f>
        <v>2.2505455541956484E-2</v>
      </c>
      <c r="J19" s="62">
        <f>A2.7.3!J19/A2.7.3!J$29</f>
        <v>3.1918883707357765E-2</v>
      </c>
      <c r="K19" s="59">
        <f>A2.7.3!K19/A2.7.3!K$29</f>
        <v>1.7588902181749553E-2</v>
      </c>
    </row>
    <row r="20" spans="1:11" customFormat="1" ht="13.35" customHeight="1">
      <c r="A20" s="26"/>
      <c r="B20" s="27" t="s">
        <v>35</v>
      </c>
      <c r="C20" s="87" t="s">
        <v>59</v>
      </c>
      <c r="D20" s="62">
        <f>A2.7.3!D20/A2.7.3!D$29</f>
        <v>0.15644215144756515</v>
      </c>
      <c r="E20" s="58">
        <f>A2.7.3!E20/A2.7.3!E$29</f>
        <v>0.10863654669665067</v>
      </c>
      <c r="F20" s="62">
        <f>A2.7.3!F20/A2.7.3!F$29</f>
        <v>0.18380826961945346</v>
      </c>
      <c r="G20" s="58">
        <f>A2.7.3!G20/A2.7.3!G$29</f>
        <v>0.11173798226156734</v>
      </c>
      <c r="H20" s="62">
        <f>A2.7.3!H20/A2.7.3!H$29</f>
        <v>0.20971619291387342</v>
      </c>
      <c r="I20" s="58">
        <f>A2.7.3!I20/A2.7.3!I$29</f>
        <v>0.11398916783191651</v>
      </c>
      <c r="J20" s="62">
        <f>A2.7.3!J20/A2.7.3!J$29</f>
        <v>0.20330377455291121</v>
      </c>
      <c r="K20" s="59">
        <f>A2.7.3!K20/A2.7.3!K$29</f>
        <v>0.11118894778812126</v>
      </c>
    </row>
    <row r="21" spans="1:11" customFormat="1" ht="13.35" customHeight="1">
      <c r="A21" s="26"/>
      <c r="B21" s="27" t="s">
        <v>36</v>
      </c>
      <c r="C21" s="27" t="s">
        <v>60</v>
      </c>
      <c r="D21" s="62">
        <f>A2.7.3!D21/A2.7.3!D$29</f>
        <v>0.15027750473595886</v>
      </c>
      <c r="E21" s="58">
        <f>A2.7.3!E21/A2.7.3!E$29</f>
        <v>0.15152315434627886</v>
      </c>
      <c r="F21" s="62">
        <f>A2.7.3!F21/A2.7.3!F$29</f>
        <v>0.1686977830995498</v>
      </c>
      <c r="G21" s="58">
        <f>A2.7.3!G21/A2.7.3!G$29</f>
        <v>0.15629228677419782</v>
      </c>
      <c r="H21" s="62">
        <f>A2.7.3!H21/A2.7.3!H$29</f>
        <v>0.19429765923460687</v>
      </c>
      <c r="I21" s="58">
        <f>A2.7.3!I21/A2.7.3!I$29</f>
        <v>0.16004350156001107</v>
      </c>
      <c r="J21" s="62">
        <f>A2.7.3!J21/A2.7.3!J$29</f>
        <v>0.22116750178217004</v>
      </c>
      <c r="K21" s="59">
        <f>A2.7.3!K21/A2.7.3!K$29</f>
        <v>0.16421289748495255</v>
      </c>
    </row>
    <row r="22" spans="1:11" customFormat="1" ht="13.35" customHeight="1">
      <c r="A22" s="26"/>
      <c r="B22" s="27" t="s">
        <v>37</v>
      </c>
      <c r="C22" s="27" t="s">
        <v>61</v>
      </c>
      <c r="D22" s="62">
        <f>A2.7.3!D22/A2.7.3!D$29</f>
        <v>7.7360370294602424E-2</v>
      </c>
      <c r="E22" s="58">
        <f>A2.7.3!E22/A2.7.3!E$29</f>
        <v>0.10885445989919773</v>
      </c>
      <c r="F22" s="62">
        <f>A2.7.3!F22/A2.7.3!F$29</f>
        <v>8.5881291023652412E-2</v>
      </c>
      <c r="G22" s="58">
        <f>A2.7.3!G22/A2.7.3!G$29</f>
        <v>0.11071426851529964</v>
      </c>
      <c r="H22" s="62">
        <f>A2.7.3!H22/A2.7.3!H$29</f>
        <v>9.1633137184539706E-2</v>
      </c>
      <c r="I22" s="58">
        <f>A2.7.3!I22/A2.7.3!I$29</f>
        <v>0.11102714178365179</v>
      </c>
      <c r="J22" s="62">
        <f>A2.7.3!J22/A2.7.3!J$29</f>
        <v>0.10163563166529617</v>
      </c>
      <c r="K22" s="59">
        <f>A2.7.3!K22/A2.7.3!K$29</f>
        <v>0.1125215428579978</v>
      </c>
    </row>
    <row r="23" spans="1:11" customFormat="1" ht="13.35" customHeight="1">
      <c r="A23" s="26"/>
      <c r="B23" s="27" t="s">
        <v>38</v>
      </c>
      <c r="C23" s="27" t="s">
        <v>62</v>
      </c>
      <c r="D23" s="62">
        <f>A2.7.3!D23/A2.7.3!D$29</f>
        <v>4.4794104292550034E-2</v>
      </c>
      <c r="E23" s="58">
        <f>A2.7.3!E23/A2.7.3!E$29</f>
        <v>8.0778465142775757E-2</v>
      </c>
      <c r="F23" s="62">
        <f>A2.7.3!F23/A2.7.3!F$29</f>
        <v>5.0621364683987917E-2</v>
      </c>
      <c r="G23" s="58">
        <f>A2.7.3!G23/A2.7.3!G$29</f>
        <v>8.4070725679476779E-2</v>
      </c>
      <c r="H23" s="62">
        <f>A2.7.3!H23/A2.7.3!H$29</f>
        <v>5.1556540710136968E-2</v>
      </c>
      <c r="I23" s="58">
        <f>A2.7.3!I23/A2.7.3!I$29</f>
        <v>8.3713724437950776E-2</v>
      </c>
      <c r="J23" s="62">
        <f>A2.7.3!J23/A2.7.3!J$29</f>
        <v>5.6365736977867786E-2</v>
      </c>
      <c r="K23" s="59">
        <f>A2.7.3!K23/A2.7.3!K$29</f>
        <v>8.3902002723179783E-2</v>
      </c>
    </row>
    <row r="24" spans="1:11" customFormat="1" ht="13.35" customHeight="1">
      <c r="A24" s="26"/>
      <c r="B24" s="27" t="s">
        <v>39</v>
      </c>
      <c r="C24" s="27" t="s">
        <v>63</v>
      </c>
      <c r="D24" s="62">
        <f>A2.7.3!D24/A2.7.3!D$29</f>
        <v>4.7685575574926281E-2</v>
      </c>
      <c r="E24" s="58">
        <f>A2.7.3!E24/A2.7.3!E$29</f>
        <v>0.11299415398585329</v>
      </c>
      <c r="F24" s="62">
        <f>A2.7.3!F24/A2.7.3!F$29</f>
        <v>5.6402020042685713E-2</v>
      </c>
      <c r="G24" s="58">
        <f>A2.7.3!G24/A2.7.3!G$29</f>
        <v>0.12536359023905272</v>
      </c>
      <c r="H24" s="62">
        <f>A2.7.3!H24/A2.7.3!H$29</f>
        <v>6.1807511662543627E-2</v>
      </c>
      <c r="I24" s="58">
        <f>A2.7.3!I24/A2.7.3!I$29</f>
        <v>0.13328585925011466</v>
      </c>
      <c r="J24" s="62">
        <f>A2.7.3!J24/A2.7.3!J$29</f>
        <v>6.9554984802985956E-2</v>
      </c>
      <c r="K24" s="59">
        <f>A2.7.3!K24/A2.7.3!K$29</f>
        <v>0.13832108352564862</v>
      </c>
    </row>
    <row r="25" spans="1:11" customFormat="1" ht="13.35" customHeight="1">
      <c r="A25" s="26"/>
      <c r="B25" s="27" t="s">
        <v>40</v>
      </c>
      <c r="C25" s="27" t="s">
        <v>64</v>
      </c>
      <c r="D25" s="62">
        <f>A2.7.3!D25/A2.7.3!D$29</f>
        <v>1.6714317315064758E-2</v>
      </c>
      <c r="E25" s="58">
        <f>A2.7.3!E25/A2.7.3!E$29</f>
        <v>5.5138474776339659E-2</v>
      </c>
      <c r="F25" s="62">
        <f>A2.7.3!F25/A2.7.3!F$29</f>
        <v>2.0246633859694826E-2</v>
      </c>
      <c r="G25" s="58">
        <f>A2.7.3!G25/A2.7.3!G$29</f>
        <v>6.2754288382998166E-2</v>
      </c>
      <c r="H25" s="62">
        <f>A2.7.3!H25/A2.7.3!H$29</f>
        <v>2.1434786612765443E-2</v>
      </c>
      <c r="I25" s="58">
        <f>A2.7.3!I25/A2.7.3!I$29</f>
        <v>6.813403141059951E-2</v>
      </c>
      <c r="J25" s="62">
        <f>A2.7.3!J25/A2.7.3!J$29</f>
        <v>2.4993200396795503E-2</v>
      </c>
      <c r="K25" s="59">
        <f>A2.7.3!K25/A2.7.3!K$29</f>
        <v>7.2722702157322253E-2</v>
      </c>
    </row>
    <row r="26" spans="1:11" customFormat="1" ht="13.35" customHeight="1">
      <c r="A26" s="26"/>
      <c r="B26" s="27" t="s">
        <v>41</v>
      </c>
      <c r="C26" s="27" t="s">
        <v>65</v>
      </c>
      <c r="D26" s="62">
        <f>A2.7.3!D26/A2.7.3!D$29</f>
        <v>1.5829495501878583E-2</v>
      </c>
      <c r="E26" s="58">
        <f>A2.7.3!E26/A2.7.3!E$29</f>
        <v>6.9065384206846339E-2</v>
      </c>
      <c r="F26" s="62">
        <f>A2.7.3!F26/A2.7.3!F$29</f>
        <v>1.8700292617793997E-2</v>
      </c>
      <c r="G26" s="58">
        <f>A2.7.3!G26/A2.7.3!G$29</f>
        <v>8.1178605650492855E-2</v>
      </c>
      <c r="H26" s="62">
        <f>A2.7.3!H26/A2.7.3!H$29</f>
        <v>1.8853783935699611E-2</v>
      </c>
      <c r="I26" s="58">
        <f>A2.7.3!I26/A2.7.3!I$29</f>
        <v>8.86533791400307E-2</v>
      </c>
      <c r="J26" s="62">
        <f>A2.7.3!J26/A2.7.3!J$29</f>
        <v>2.2175032491398402E-2</v>
      </c>
      <c r="K26" s="59">
        <f>A2.7.3!K26/A2.7.3!K$29</f>
        <v>9.8147018418097698E-2</v>
      </c>
    </row>
    <row r="27" spans="1:11" customFormat="1" ht="13.35" customHeight="1">
      <c r="A27" s="26"/>
      <c r="B27" s="27" t="s">
        <v>42</v>
      </c>
      <c r="C27" s="27" t="s">
        <v>66</v>
      </c>
      <c r="D27" s="62">
        <f>A2.7.3!D27/A2.7.3!D$29</f>
        <v>4.7168320717969701E-3</v>
      </c>
      <c r="E27" s="58">
        <f>A2.7.3!E27/A2.7.3!E$29</f>
        <v>3.6592559502892211E-2</v>
      </c>
      <c r="F27" s="62">
        <f>A2.7.3!F27/A2.7.3!F$29</f>
        <v>5.1050771139106183E-3</v>
      </c>
      <c r="G27" s="58">
        <f>A2.7.3!G27/A2.7.3!G$29</f>
        <v>4.1549760021288025E-2</v>
      </c>
      <c r="H27" s="62">
        <f>A2.7.3!H27/A2.7.3!H$29</f>
        <v>4.6594600774221414E-3</v>
      </c>
      <c r="I27" s="58">
        <f>A2.7.3!I27/A2.7.3!I$29</f>
        <v>4.1896056524171332E-2</v>
      </c>
      <c r="J27" s="62">
        <f>A2.7.3!J27/A2.7.3!J$29</f>
        <v>5.5189782277894825E-3</v>
      </c>
      <c r="K27" s="59">
        <f>A2.7.3!K27/A2.7.3!K$29</f>
        <v>4.5989541986853427E-2</v>
      </c>
    </row>
    <row r="28" spans="1:11" customFormat="1" ht="13.35" customHeight="1">
      <c r="A28" s="26"/>
      <c r="B28" s="27" t="s">
        <v>43</v>
      </c>
      <c r="C28" s="27" t="s">
        <v>67</v>
      </c>
      <c r="D28" s="62">
        <f>A2.7.3!D28/A2.7.3!D$29</f>
        <v>9.6548695968904838E-4</v>
      </c>
      <c r="E28" s="58">
        <f>A2.7.3!E28/A2.7.3!E$29</f>
        <v>1.9931975030480567E-2</v>
      </c>
      <c r="F28" s="62">
        <f>A2.7.3!F28/A2.7.3!F$29</f>
        <v>8.8988313611706624E-4</v>
      </c>
      <c r="G28" s="58">
        <f>A2.7.3!G28/A2.7.3!G$29</f>
        <v>1.6080760845953501E-2</v>
      </c>
      <c r="H28" s="62">
        <f>A2.7.3!H28/A2.7.3!H$29</f>
        <v>7.6294788454637553E-4</v>
      </c>
      <c r="I28" s="58">
        <f>A2.7.3!I28/A2.7.3!I$29</f>
        <v>1.7888597277677665E-2</v>
      </c>
      <c r="J28" s="62">
        <f>A2.7.3!J28/A2.7.3!J$29</f>
        <v>8.5322134670998324E-4</v>
      </c>
      <c r="K28" s="59">
        <f>A2.7.3!K28/A2.7.3!K$29</f>
        <v>1.8393640520141641E-2</v>
      </c>
    </row>
    <row r="29" spans="1:11" customFormat="1" ht="13.35" customHeight="1">
      <c r="A29" s="88"/>
      <c r="B29" s="75" t="s">
        <v>9</v>
      </c>
      <c r="C29" s="89"/>
      <c r="D29" s="63">
        <f>A2.7.3!D29/A2.7.3!D$29</f>
        <v>1</v>
      </c>
      <c r="E29" s="60">
        <f>A2.7.3!E29/A2.7.3!E$29</f>
        <v>1</v>
      </c>
      <c r="F29" s="63">
        <f>A2.7.3!F29/A2.7.3!F$29</f>
        <v>1</v>
      </c>
      <c r="G29" s="60">
        <f>A2.7.3!G29/A2.7.3!G$29</f>
        <v>1</v>
      </c>
      <c r="H29" s="63">
        <f>A2.7.3!H29/A2.7.3!H$29</f>
        <v>1</v>
      </c>
      <c r="I29" s="60">
        <f>A2.7.3!I29/A2.7.3!I$29</f>
        <v>1</v>
      </c>
      <c r="J29" s="63">
        <f>A2.7.3!J29/A2.7.3!J$29</f>
        <v>1</v>
      </c>
      <c r="K29" s="61">
        <f>A2.7.3!K29/A2.7.3!K$29</f>
        <v>1</v>
      </c>
    </row>
    <row r="30" spans="1:11" s="1" customFormat="1" ht="13.35" customHeight="1"/>
    <row r="31" spans="1:11">
      <c r="F31" s="560" t="s">
        <v>506</v>
      </c>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sheetPr codeName="Sheet35" enableFormatConditionsCalculation="0">
    <pageSetUpPr fitToPage="1"/>
  </sheetPr>
  <dimension ref="A1:K34"/>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20.7109375" style="2" customWidth="1"/>
    <col min="4" max="5" width="10.7109375" style="2" customWidth="1"/>
    <col min="6" max="6" width="10.7109375" style="14" customWidth="1"/>
    <col min="7" max="11" width="10.7109375" style="6" customWidth="1"/>
    <col min="12" max="16384" width="9.140625" style="10"/>
  </cols>
  <sheetData>
    <row r="1" spans="1:11" s="8" customFormat="1" ht="15" customHeight="1">
      <c r="A1" s="465" t="s">
        <v>442</v>
      </c>
      <c r="B1" s="465"/>
      <c r="C1" s="465"/>
      <c r="D1" s="465"/>
      <c r="E1" s="465"/>
      <c r="F1" s="465"/>
      <c r="G1" s="465"/>
      <c r="H1" s="465"/>
      <c r="I1" s="465"/>
      <c r="J1" s="465"/>
      <c r="K1" s="465"/>
    </row>
    <row r="2" spans="1:11" s="8" customFormat="1" ht="15" customHeight="1">
      <c r="A2" s="90"/>
      <c r="B2" s="91" t="s">
        <v>183</v>
      </c>
      <c r="C2" s="92"/>
      <c r="D2" s="84" t="s">
        <v>467</v>
      </c>
      <c r="E2" s="67"/>
      <c r="F2" s="65" t="s">
        <v>468</v>
      </c>
      <c r="G2" s="67"/>
      <c r="H2" s="65" t="s">
        <v>469</v>
      </c>
      <c r="I2" s="67"/>
      <c r="J2" s="708" t="s">
        <v>470</v>
      </c>
      <c r="K2" s="709"/>
    </row>
    <row r="3" spans="1:11" ht="33.75">
      <c r="A3" s="80"/>
      <c r="B3" s="703" t="s">
        <v>95</v>
      </c>
      <c r="C3" s="702"/>
      <c r="D3" s="32" t="s">
        <v>18</v>
      </c>
      <c r="E3" s="33" t="s">
        <v>98</v>
      </c>
      <c r="F3" s="32" t="s">
        <v>18</v>
      </c>
      <c r="G3" s="33" t="s">
        <v>98</v>
      </c>
      <c r="H3" s="32" t="s">
        <v>18</v>
      </c>
      <c r="I3" s="33" t="s">
        <v>98</v>
      </c>
      <c r="J3" s="32" t="s">
        <v>18</v>
      </c>
      <c r="K3" s="86" t="s">
        <v>98</v>
      </c>
    </row>
    <row r="4" spans="1:11" ht="13.35" customHeight="1">
      <c r="A4" s="49"/>
      <c r="B4" s="16" t="s">
        <v>19</v>
      </c>
      <c r="C4" s="16" t="s">
        <v>44</v>
      </c>
      <c r="D4" s="19">
        <v>43402</v>
      </c>
      <c r="E4" s="15">
        <v>1261.8491039999999</v>
      </c>
      <c r="F4" s="19">
        <v>44137</v>
      </c>
      <c r="G4" s="15">
        <v>1377.0131140000001</v>
      </c>
      <c r="H4" s="19">
        <v>44777</v>
      </c>
      <c r="I4" s="15">
        <v>4373.1493</v>
      </c>
      <c r="J4" s="19">
        <v>42231</v>
      </c>
      <c r="K4" s="24">
        <v>1736.668052</v>
      </c>
    </row>
    <row r="5" spans="1:11" ht="13.35" customHeight="1">
      <c r="A5" s="49"/>
      <c r="B5" s="16" t="s">
        <v>20</v>
      </c>
      <c r="C5" s="50" t="s">
        <v>137</v>
      </c>
      <c r="D5" s="19">
        <v>69</v>
      </c>
      <c r="E5" s="15">
        <v>1.772783</v>
      </c>
      <c r="F5" s="19">
        <v>185</v>
      </c>
      <c r="G5" s="15">
        <v>4.8296849999999996</v>
      </c>
      <c r="H5" s="19">
        <v>227</v>
      </c>
      <c r="I5" s="15">
        <v>6.948359</v>
      </c>
      <c r="J5" s="19">
        <v>301</v>
      </c>
      <c r="K5" s="24">
        <v>13.019817</v>
      </c>
    </row>
    <row r="6" spans="1:11" ht="13.35" customHeight="1">
      <c r="A6" s="49"/>
      <c r="B6" s="16" t="s">
        <v>21</v>
      </c>
      <c r="C6" s="16" t="s">
        <v>45</v>
      </c>
      <c r="D6" s="19">
        <v>30211</v>
      </c>
      <c r="E6" s="15">
        <v>507.09452399999998</v>
      </c>
      <c r="F6" s="19">
        <v>28565</v>
      </c>
      <c r="G6" s="15">
        <v>534.55864799999995</v>
      </c>
      <c r="H6" s="19">
        <v>31172</v>
      </c>
      <c r="I6" s="15">
        <v>568.19995100000006</v>
      </c>
      <c r="J6" s="19">
        <v>28304</v>
      </c>
      <c r="K6" s="24">
        <v>575.27745400000003</v>
      </c>
    </row>
    <row r="7" spans="1:11" ht="13.35" customHeight="1">
      <c r="A7" s="49"/>
      <c r="B7" s="16" t="s">
        <v>22</v>
      </c>
      <c r="C7" s="16" t="s">
        <v>46</v>
      </c>
      <c r="D7" s="19">
        <v>24051</v>
      </c>
      <c r="E7" s="15">
        <v>362.93639100000001</v>
      </c>
      <c r="F7" s="19">
        <v>23279</v>
      </c>
      <c r="G7" s="15">
        <v>389.161385</v>
      </c>
      <c r="H7" s="19">
        <v>25261</v>
      </c>
      <c r="I7" s="15">
        <v>406.40891099999999</v>
      </c>
      <c r="J7" s="19">
        <v>21984</v>
      </c>
      <c r="K7" s="24">
        <v>409.525642</v>
      </c>
    </row>
    <row r="8" spans="1:11" ht="13.35" customHeight="1">
      <c r="A8" s="49"/>
      <c r="B8" s="16" t="s">
        <v>23</v>
      </c>
      <c r="C8" s="16" t="s">
        <v>47</v>
      </c>
      <c r="D8" s="19">
        <v>34850</v>
      </c>
      <c r="E8" s="15">
        <v>499.74716899999999</v>
      </c>
      <c r="F8" s="19">
        <v>32027</v>
      </c>
      <c r="G8" s="15">
        <v>498.64787999999999</v>
      </c>
      <c r="H8" s="19">
        <v>32310</v>
      </c>
      <c r="I8" s="15">
        <v>518.15363400000001</v>
      </c>
      <c r="J8" s="19">
        <v>28821</v>
      </c>
      <c r="K8" s="24">
        <v>526.03915500000005</v>
      </c>
    </row>
    <row r="9" spans="1:11" ht="13.35" customHeight="1">
      <c r="A9" s="49"/>
      <c r="B9" s="16" t="s">
        <v>24</v>
      </c>
      <c r="C9" s="16" t="s">
        <v>48</v>
      </c>
      <c r="D9" s="19">
        <v>55752</v>
      </c>
      <c r="E9" s="15">
        <v>650.97168299999998</v>
      </c>
      <c r="F9" s="19">
        <v>47753</v>
      </c>
      <c r="G9" s="15">
        <v>669.51725399999998</v>
      </c>
      <c r="H9" s="19">
        <v>40420</v>
      </c>
      <c r="I9" s="15">
        <v>636.82624899999996</v>
      </c>
      <c r="J9" s="19">
        <v>36266</v>
      </c>
      <c r="K9" s="24">
        <v>660.22298899999998</v>
      </c>
    </row>
    <row r="10" spans="1:11" s="51" customFormat="1" ht="13.35" customHeight="1">
      <c r="A10" s="49"/>
      <c r="B10" s="16" t="s">
        <v>25</v>
      </c>
      <c r="C10" s="16" t="s">
        <v>49</v>
      </c>
      <c r="D10" s="19">
        <v>70164</v>
      </c>
      <c r="E10" s="15">
        <v>714.44933300000002</v>
      </c>
      <c r="F10" s="19">
        <v>69092</v>
      </c>
      <c r="G10" s="15">
        <v>771.38228200000003</v>
      </c>
      <c r="H10" s="19">
        <v>63191</v>
      </c>
      <c r="I10" s="15">
        <v>834.74230299999999</v>
      </c>
      <c r="J10" s="19">
        <v>54126</v>
      </c>
      <c r="K10" s="24">
        <v>956.99850300000003</v>
      </c>
    </row>
    <row r="11" spans="1:11" s="1" customFormat="1" ht="13.35" customHeight="1">
      <c r="A11" s="26"/>
      <c r="B11" s="16" t="s">
        <v>26</v>
      </c>
      <c r="C11" s="16" t="s">
        <v>50</v>
      </c>
      <c r="D11" s="19">
        <v>80911</v>
      </c>
      <c r="E11" s="15">
        <v>802.78023700000006</v>
      </c>
      <c r="F11" s="19">
        <v>82744</v>
      </c>
      <c r="G11" s="15">
        <v>834.62163899999996</v>
      </c>
      <c r="H11" s="19">
        <v>89740</v>
      </c>
      <c r="I11" s="15">
        <v>931.27491999999995</v>
      </c>
      <c r="J11" s="19">
        <v>76252</v>
      </c>
      <c r="K11" s="24">
        <v>1327.495081</v>
      </c>
    </row>
    <row r="12" spans="1:11" s="1" customFormat="1" ht="13.35" customHeight="1">
      <c r="A12" s="26"/>
      <c r="B12" s="16" t="s">
        <v>27</v>
      </c>
      <c r="C12" s="16" t="s">
        <v>51</v>
      </c>
      <c r="D12" s="19">
        <v>87274</v>
      </c>
      <c r="E12" s="15">
        <v>826.96585300000004</v>
      </c>
      <c r="F12" s="19">
        <v>88430</v>
      </c>
      <c r="G12" s="15">
        <v>895.07153200000005</v>
      </c>
      <c r="H12" s="19">
        <v>94416</v>
      </c>
      <c r="I12" s="15">
        <v>978.33972600000004</v>
      </c>
      <c r="J12" s="19">
        <v>101914</v>
      </c>
      <c r="K12" s="24">
        <v>1738.068417</v>
      </c>
    </row>
    <row r="13" spans="1:11" s="1" customFormat="1" ht="13.35" customHeight="1">
      <c r="A13" s="26"/>
      <c r="B13" s="27" t="s">
        <v>28</v>
      </c>
      <c r="C13" s="27" t="s">
        <v>52</v>
      </c>
      <c r="D13" s="19">
        <v>99231</v>
      </c>
      <c r="E13" s="15">
        <v>885.21903399999997</v>
      </c>
      <c r="F13" s="19">
        <v>91518</v>
      </c>
      <c r="G13" s="15">
        <v>885.96813299999997</v>
      </c>
      <c r="H13" s="19">
        <v>96024</v>
      </c>
      <c r="I13" s="15">
        <v>1022.6491140000001</v>
      </c>
      <c r="J13" s="19">
        <v>98610</v>
      </c>
      <c r="K13" s="24">
        <v>1758.463207</v>
      </c>
    </row>
    <row r="14" spans="1:11" s="1" customFormat="1" ht="13.35" customHeight="1">
      <c r="A14" s="26"/>
      <c r="B14" s="27" t="s">
        <v>29</v>
      </c>
      <c r="C14" s="27" t="s">
        <v>53</v>
      </c>
      <c r="D14" s="19">
        <v>108496</v>
      </c>
      <c r="E14" s="15">
        <v>934.21608100000003</v>
      </c>
      <c r="F14" s="19">
        <v>100974</v>
      </c>
      <c r="G14" s="15">
        <v>941.80920600000002</v>
      </c>
      <c r="H14" s="19">
        <v>97673</v>
      </c>
      <c r="I14" s="15">
        <v>992.14593600000001</v>
      </c>
      <c r="J14" s="19">
        <v>93768</v>
      </c>
      <c r="K14" s="24">
        <v>1708.3353629999999</v>
      </c>
    </row>
    <row r="15" spans="1:11" customFormat="1" ht="13.35" customHeight="1">
      <c r="A15" s="26"/>
      <c r="B15" s="27" t="s">
        <v>30</v>
      </c>
      <c r="C15" s="27" t="s">
        <v>54</v>
      </c>
      <c r="D15" s="19">
        <v>118839</v>
      </c>
      <c r="E15" s="15">
        <v>993.53421400000002</v>
      </c>
      <c r="F15" s="19">
        <v>111477</v>
      </c>
      <c r="G15" s="15">
        <v>975.21389699999997</v>
      </c>
      <c r="H15" s="19">
        <v>100335</v>
      </c>
      <c r="I15" s="15">
        <v>989.91338699999994</v>
      </c>
      <c r="J15" s="19">
        <v>97998</v>
      </c>
      <c r="K15" s="24">
        <v>1785.534259</v>
      </c>
    </row>
    <row r="16" spans="1:11" customFormat="1" ht="13.35" customHeight="1">
      <c r="A16" s="26"/>
      <c r="B16" s="27" t="s">
        <v>31</v>
      </c>
      <c r="C16" s="27" t="s">
        <v>55</v>
      </c>
      <c r="D16" s="19">
        <v>126677</v>
      </c>
      <c r="E16" s="15">
        <v>958.45508600000005</v>
      </c>
      <c r="F16" s="19">
        <v>102425</v>
      </c>
      <c r="G16" s="15">
        <v>957.89735599999995</v>
      </c>
      <c r="H16" s="19">
        <v>107814</v>
      </c>
      <c r="I16" s="15">
        <v>1029.5465919999999</v>
      </c>
      <c r="J16" s="19">
        <v>101752</v>
      </c>
      <c r="K16" s="24">
        <v>1930.1686</v>
      </c>
    </row>
    <row r="17" spans="1:11" customFormat="1" ht="13.35" customHeight="1">
      <c r="A17" s="26"/>
      <c r="B17" s="27" t="s">
        <v>32</v>
      </c>
      <c r="C17" s="27" t="s">
        <v>56</v>
      </c>
      <c r="D17" s="19">
        <v>103094</v>
      </c>
      <c r="E17" s="15">
        <v>854.44995500000005</v>
      </c>
      <c r="F17" s="19">
        <v>115071</v>
      </c>
      <c r="G17" s="15">
        <v>1007.248208</v>
      </c>
      <c r="H17" s="19">
        <v>96744</v>
      </c>
      <c r="I17" s="15">
        <v>965.162688</v>
      </c>
      <c r="J17" s="19">
        <v>111991</v>
      </c>
      <c r="K17" s="24">
        <v>2119.098563</v>
      </c>
    </row>
    <row r="18" spans="1:11" customFormat="1" ht="13.35" customHeight="1">
      <c r="A18" s="26"/>
      <c r="B18" s="27" t="s">
        <v>33</v>
      </c>
      <c r="C18" s="27" t="s">
        <v>57</v>
      </c>
      <c r="D18" s="19">
        <v>103300</v>
      </c>
      <c r="E18" s="15">
        <v>832.22361999999998</v>
      </c>
      <c r="F18" s="19">
        <v>111762</v>
      </c>
      <c r="G18" s="15">
        <v>906.31579799999997</v>
      </c>
      <c r="H18" s="19">
        <v>89554</v>
      </c>
      <c r="I18" s="15">
        <v>954.45302500000003</v>
      </c>
      <c r="J18" s="19">
        <v>102573</v>
      </c>
      <c r="K18" s="24">
        <v>1915.704346</v>
      </c>
    </row>
    <row r="19" spans="1:11" customFormat="1" ht="13.35" customHeight="1">
      <c r="A19" s="26"/>
      <c r="B19" s="27" t="s">
        <v>34</v>
      </c>
      <c r="C19" s="27" t="s">
        <v>58</v>
      </c>
      <c r="D19" s="19">
        <v>94688</v>
      </c>
      <c r="E19" s="15">
        <v>740.27419099999997</v>
      </c>
      <c r="F19" s="19">
        <v>93526</v>
      </c>
      <c r="G19" s="15">
        <v>842.62452299999995</v>
      </c>
      <c r="H19" s="19">
        <v>97990</v>
      </c>
      <c r="I19" s="15">
        <v>994.713527</v>
      </c>
      <c r="J19" s="19">
        <v>99066</v>
      </c>
      <c r="K19" s="24">
        <v>1858.315024</v>
      </c>
    </row>
    <row r="20" spans="1:11" customFormat="1" ht="13.35" customHeight="1">
      <c r="A20" s="26"/>
      <c r="B20" s="27" t="s">
        <v>35</v>
      </c>
      <c r="C20" s="87" t="s">
        <v>59</v>
      </c>
      <c r="D20" s="19">
        <v>285584</v>
      </c>
      <c r="E20" s="15">
        <v>2493.562649</v>
      </c>
      <c r="F20" s="19">
        <v>354752</v>
      </c>
      <c r="G20" s="15">
        <v>3199.3453260000001</v>
      </c>
      <c r="H20" s="19">
        <v>391957</v>
      </c>
      <c r="I20" s="15">
        <v>4031.907322</v>
      </c>
      <c r="J20" s="19">
        <v>485860</v>
      </c>
      <c r="K20" s="24">
        <v>9539.1074420000004</v>
      </c>
    </row>
    <row r="21" spans="1:11" customFormat="1" ht="13.35" customHeight="1">
      <c r="A21" s="26"/>
      <c r="B21" s="27" t="s">
        <v>36</v>
      </c>
      <c r="C21" s="27" t="s">
        <v>60</v>
      </c>
      <c r="D21" s="19">
        <v>252058</v>
      </c>
      <c r="E21" s="15">
        <v>2451.8895189999998</v>
      </c>
      <c r="F21" s="19">
        <v>306395</v>
      </c>
      <c r="G21" s="15">
        <v>3165.127007</v>
      </c>
      <c r="H21" s="19">
        <v>342365</v>
      </c>
      <c r="I21" s="15">
        <v>4062.6850290000002</v>
      </c>
      <c r="J21" s="19">
        <v>498321</v>
      </c>
      <c r="K21" s="24">
        <v>10007.567165</v>
      </c>
    </row>
    <row r="22" spans="1:11" customFormat="1" ht="13.35" customHeight="1">
      <c r="A22" s="26"/>
      <c r="B22" s="27" t="s">
        <v>37</v>
      </c>
      <c r="C22" s="27" t="s">
        <v>61</v>
      </c>
      <c r="D22" s="19">
        <v>108081</v>
      </c>
      <c r="E22" s="15">
        <v>1112.550974</v>
      </c>
      <c r="F22" s="19">
        <v>140666</v>
      </c>
      <c r="G22" s="15">
        <v>1531.5608110000001</v>
      </c>
      <c r="H22" s="19">
        <v>152044</v>
      </c>
      <c r="I22" s="15">
        <v>1953.2376409999999</v>
      </c>
      <c r="J22" s="19">
        <v>228781</v>
      </c>
      <c r="K22" s="24">
        <v>4696.6859720000002</v>
      </c>
    </row>
    <row r="23" spans="1:11" customFormat="1" ht="13.35" customHeight="1">
      <c r="A23" s="26"/>
      <c r="B23" s="27" t="s">
        <v>38</v>
      </c>
      <c r="C23" s="27" t="s">
        <v>62</v>
      </c>
      <c r="D23" s="19">
        <v>51424</v>
      </c>
      <c r="E23" s="15">
        <v>554.07618100000002</v>
      </c>
      <c r="F23" s="19">
        <v>71661</v>
      </c>
      <c r="G23" s="15">
        <v>816.26527599999997</v>
      </c>
      <c r="H23" s="19">
        <v>75540</v>
      </c>
      <c r="I23" s="15">
        <v>1042.1542199999999</v>
      </c>
      <c r="J23" s="19">
        <v>120010</v>
      </c>
      <c r="K23" s="24">
        <v>2507.376487</v>
      </c>
    </row>
    <row r="24" spans="1:11" customFormat="1" ht="13.35" customHeight="1">
      <c r="A24" s="26"/>
      <c r="B24" s="27" t="s">
        <v>39</v>
      </c>
      <c r="C24" s="27" t="s">
        <v>63</v>
      </c>
      <c r="D24" s="19">
        <v>48825</v>
      </c>
      <c r="E24" s="15">
        <v>575.28857500000004</v>
      </c>
      <c r="F24" s="19">
        <v>68150</v>
      </c>
      <c r="G24" s="15">
        <v>853.18846199999996</v>
      </c>
      <c r="H24" s="19">
        <v>76358</v>
      </c>
      <c r="I24" s="15">
        <v>1127.8244420000001</v>
      </c>
      <c r="J24" s="19">
        <v>132607</v>
      </c>
      <c r="K24" s="24">
        <v>2777.1974399999999</v>
      </c>
    </row>
    <row r="25" spans="1:11" customFormat="1" ht="13.35" customHeight="1">
      <c r="A25" s="26"/>
      <c r="B25" s="27" t="s">
        <v>40</v>
      </c>
      <c r="C25" s="27" t="s">
        <v>64</v>
      </c>
      <c r="D25" s="19">
        <v>16104</v>
      </c>
      <c r="E25" s="15">
        <v>201.36790500000001</v>
      </c>
      <c r="F25" s="19">
        <v>22098</v>
      </c>
      <c r="G25" s="15">
        <v>303.67387000000002</v>
      </c>
      <c r="H25" s="19">
        <v>22895</v>
      </c>
      <c r="I25" s="15">
        <v>385.078935</v>
      </c>
      <c r="J25" s="19">
        <v>44310</v>
      </c>
      <c r="K25" s="24">
        <v>952.48336600000005</v>
      </c>
    </row>
    <row r="26" spans="1:11" customFormat="1" ht="13.35" customHeight="1">
      <c r="A26" s="26"/>
      <c r="B26" s="27" t="s">
        <v>41</v>
      </c>
      <c r="C26" s="27" t="s">
        <v>65</v>
      </c>
      <c r="D26" s="19">
        <v>14845</v>
      </c>
      <c r="E26" s="15">
        <v>190.794331</v>
      </c>
      <c r="F26" s="19">
        <v>19640</v>
      </c>
      <c r="G26" s="15">
        <v>293.79043300000001</v>
      </c>
      <c r="H26" s="19">
        <v>18777</v>
      </c>
      <c r="I26" s="15">
        <v>334.62755299999998</v>
      </c>
      <c r="J26" s="19">
        <v>39516</v>
      </c>
      <c r="K26" s="24">
        <v>881.94372199999998</v>
      </c>
    </row>
    <row r="27" spans="1:11" customFormat="1" ht="13.35" customHeight="1">
      <c r="A27" s="26"/>
      <c r="B27" s="27" t="s">
        <v>42</v>
      </c>
      <c r="C27" s="27" t="s">
        <v>66</v>
      </c>
      <c r="D27" s="19">
        <v>4180</v>
      </c>
      <c r="E27" s="15">
        <v>57.318302000000003</v>
      </c>
      <c r="F27" s="19">
        <v>4995</v>
      </c>
      <c r="G27" s="15">
        <v>76.331836999999993</v>
      </c>
      <c r="H27" s="19">
        <v>4603</v>
      </c>
      <c r="I27" s="15">
        <v>89.066433000000004</v>
      </c>
      <c r="J27" s="19">
        <v>10487</v>
      </c>
      <c r="K27" s="24">
        <v>238.38886299999999</v>
      </c>
    </row>
    <row r="28" spans="1:11" customFormat="1" ht="13.35" customHeight="1">
      <c r="A28" s="26"/>
      <c r="B28" s="27" t="s">
        <v>43</v>
      </c>
      <c r="C28" s="27" t="s">
        <v>67</v>
      </c>
      <c r="D28" s="19">
        <v>834</v>
      </c>
      <c r="E28" s="15">
        <v>12.243353000000001</v>
      </c>
      <c r="F28" s="19">
        <v>912</v>
      </c>
      <c r="G28" s="15">
        <v>14.94303</v>
      </c>
      <c r="H28" s="19">
        <v>789</v>
      </c>
      <c r="I28" s="15">
        <v>15.573361999999999</v>
      </c>
      <c r="J28" s="19">
        <v>1727</v>
      </c>
      <c r="K28" s="24">
        <v>42.533298000000002</v>
      </c>
    </row>
    <row r="29" spans="1:11" customFormat="1" ht="13.35" customHeight="1">
      <c r="A29" s="88"/>
      <c r="B29" s="75" t="s">
        <v>9</v>
      </c>
      <c r="C29" s="89"/>
      <c r="D29" s="20">
        <f t="shared" ref="D29:K29" si="0">SUM(D4:D28)</f>
        <v>1962944</v>
      </c>
      <c r="E29" s="18">
        <f t="shared" si="0"/>
        <v>19476.031047</v>
      </c>
      <c r="F29" s="20">
        <f t="shared" si="0"/>
        <v>2132234</v>
      </c>
      <c r="G29" s="18">
        <f t="shared" si="0"/>
        <v>22746.106591999993</v>
      </c>
      <c r="H29" s="20">
        <f t="shared" si="0"/>
        <v>2192976</v>
      </c>
      <c r="I29" s="18">
        <f t="shared" si="0"/>
        <v>29244.782559000003</v>
      </c>
      <c r="J29" s="20">
        <f t="shared" si="0"/>
        <v>2657576</v>
      </c>
      <c r="K29" s="25">
        <f t="shared" si="0"/>
        <v>52662.218226999998</v>
      </c>
    </row>
    <row r="30" spans="1:11" s="1" customFormat="1" ht="13.35" customHeight="1"/>
    <row r="31" spans="1:11" customFormat="1" ht="13.35" customHeight="1">
      <c r="F31" s="560" t="s">
        <v>506</v>
      </c>
      <c r="H31" s="1"/>
    </row>
    <row r="32" spans="1:11" customFormat="1" ht="13.35" customHeight="1">
      <c r="H32" s="1"/>
    </row>
    <row r="33" spans="3:11" customFormat="1" ht="13.35" customHeight="1">
      <c r="C33" s="170" t="s">
        <v>257</v>
      </c>
      <c r="D33" s="171">
        <f>A2.7.1!D8-D29</f>
        <v>0</v>
      </c>
      <c r="E33" s="171">
        <f>A2.7.1!E8-E29</f>
        <v>0</v>
      </c>
      <c r="F33" s="171">
        <f>A2.7.1!F8-F29</f>
        <v>0</v>
      </c>
      <c r="G33" s="171">
        <f>A2.7.1!G8-G29</f>
        <v>0</v>
      </c>
      <c r="H33" s="171">
        <f>A2.7.1!H8-H29</f>
        <v>0</v>
      </c>
      <c r="I33" s="171">
        <f>A2.7.1!I8-I29</f>
        <v>0</v>
      </c>
      <c r="J33" s="171">
        <f>A2.7.1!J8-J29</f>
        <v>0</v>
      </c>
      <c r="K33" s="172">
        <f>A2.7.1!K8-K29</f>
        <v>0</v>
      </c>
    </row>
    <row r="34" spans="3:11" customFormat="1" ht="13.35" customHeight="1">
      <c r="H34" s="1"/>
    </row>
  </sheetData>
  <mergeCells count="2">
    <mergeCell ref="B3:C3"/>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sheetPr codeName="Sheet47"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499</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97</v>
      </c>
      <c r="F3" s="32" t="s">
        <v>18</v>
      </c>
      <c r="G3" s="134" t="s">
        <v>97</v>
      </c>
      <c r="H3" s="32" t="s">
        <v>18</v>
      </c>
      <c r="I3" s="134" t="s">
        <v>97</v>
      </c>
      <c r="J3" s="33" t="s">
        <v>18</v>
      </c>
      <c r="K3" s="86" t="s">
        <v>97</v>
      </c>
    </row>
    <row r="4" spans="1:11" ht="13.35" customHeight="1">
      <c r="A4" s="49"/>
      <c r="B4" s="16" t="s">
        <v>19</v>
      </c>
      <c r="C4" s="16" t="s">
        <v>44</v>
      </c>
      <c r="D4" s="62">
        <f>A2.7.4!D4/A2.7.4!D$29</f>
        <v>2.2110666427570019E-2</v>
      </c>
      <c r="E4" s="58">
        <f>A2.7.4!E4/A2.7.4!E$29</f>
        <v>6.4789848658326585E-2</v>
      </c>
      <c r="F4" s="62">
        <f>A2.7.4!F4/A2.7.4!F$29</f>
        <v>2.0699885659829081E-2</v>
      </c>
      <c r="G4" s="58">
        <f>A2.7.4!G4/A2.7.4!G$29</f>
        <v>6.0538409438576524E-2</v>
      </c>
      <c r="H4" s="62">
        <f>A2.7.4!H4/A2.7.4!H$29</f>
        <v>2.0418372111687497E-2</v>
      </c>
      <c r="I4" s="58">
        <f>A2.7.4!I4/A2.7.4!I$29</f>
        <v>0.14953605112903037</v>
      </c>
      <c r="J4" s="62">
        <f>A2.7.4!J4/A2.7.4!J$29</f>
        <v>1.5890796726039068E-2</v>
      </c>
      <c r="K4" s="59">
        <f>A2.7.4!K4/A2.7.4!K$29</f>
        <v>3.2977495260721995E-2</v>
      </c>
    </row>
    <row r="5" spans="1:11" ht="13.35" customHeight="1">
      <c r="A5" s="49"/>
      <c r="B5" s="16" t="s">
        <v>20</v>
      </c>
      <c r="C5" s="50" t="s">
        <v>137</v>
      </c>
      <c r="D5" s="62">
        <f>A2.7.4!D5/A2.7.4!D$29</f>
        <v>3.5151282970884547E-5</v>
      </c>
      <c r="E5" s="58">
        <f>A2.7.4!E5/A2.7.4!E$29</f>
        <v>9.1023833127082201E-5</v>
      </c>
      <c r="F5" s="62">
        <f>A2.7.4!F5/A2.7.4!F$29</f>
        <v>8.6763460295633595E-5</v>
      </c>
      <c r="G5" s="58">
        <f>A2.7.4!G5/A2.7.4!G$29</f>
        <v>2.1233018408955504E-4</v>
      </c>
      <c r="H5" s="62">
        <f>A2.7.4!H5/A2.7.4!H$29</f>
        <v>1.0351230474022515E-4</v>
      </c>
      <c r="I5" s="58">
        <f>A2.7.4!I5/A2.7.4!I$29</f>
        <v>2.3759311548930158E-4</v>
      </c>
      <c r="J5" s="62">
        <f>A2.7.4!J5/A2.7.4!J$29</f>
        <v>1.1326110711415214E-4</v>
      </c>
      <c r="K5" s="59">
        <f>A2.7.4!K5/A2.7.4!K$29</f>
        <v>2.4723259745493818E-4</v>
      </c>
    </row>
    <row r="6" spans="1:11" ht="13.35" customHeight="1">
      <c r="A6" s="49"/>
      <c r="B6" s="16" t="s">
        <v>21</v>
      </c>
      <c r="C6" s="16" t="s">
        <v>45</v>
      </c>
      <c r="D6" s="62">
        <f>A2.7.4!D6/A2.7.4!D$29</f>
        <v>1.5390658113527435E-2</v>
      </c>
      <c r="E6" s="58">
        <f>A2.7.4!E6/A2.7.4!E$29</f>
        <v>2.6036851285370616E-2</v>
      </c>
      <c r="F6" s="62">
        <f>A2.7.4!F6/A2.7.4!F$29</f>
        <v>1.3396747261323101E-2</v>
      </c>
      <c r="G6" s="58">
        <f>A2.7.4!G6/A2.7.4!G$29</f>
        <v>2.3501105379854722E-2</v>
      </c>
      <c r="H6" s="62">
        <f>A2.7.4!H6/A2.7.4!H$29</f>
        <v>1.4214473847411006E-2</v>
      </c>
      <c r="I6" s="58">
        <f>A2.7.4!I6/A2.7.4!I$29</f>
        <v>1.9429104998598734E-2</v>
      </c>
      <c r="J6" s="62">
        <f>A2.7.4!J6/A2.7.4!J$29</f>
        <v>1.0650306896209176E-2</v>
      </c>
      <c r="K6" s="59">
        <f>A2.7.4!K6/A2.7.4!K$29</f>
        <v>1.0923912310724777E-2</v>
      </c>
    </row>
    <row r="7" spans="1:11" ht="13.35" customHeight="1">
      <c r="A7" s="49"/>
      <c r="B7" s="16" t="s">
        <v>22</v>
      </c>
      <c r="C7" s="16" t="s">
        <v>46</v>
      </c>
      <c r="D7" s="62">
        <f>A2.7.4!D7/A2.7.4!D$29</f>
        <v>1.2252514590329628E-2</v>
      </c>
      <c r="E7" s="58">
        <f>A2.7.4!E7/A2.7.4!E$29</f>
        <v>1.8635028365078781E-2</v>
      </c>
      <c r="F7" s="62">
        <f>A2.7.4!F7/A2.7.4!F$29</f>
        <v>1.0917657255254348E-2</v>
      </c>
      <c r="G7" s="58">
        <f>A2.7.4!G7/A2.7.4!G$29</f>
        <v>1.7108922945822804E-2</v>
      </c>
      <c r="H7" s="62">
        <f>A2.7.4!H7/A2.7.4!H$29</f>
        <v>1.151904991208294E-2</v>
      </c>
      <c r="I7" s="58">
        <f>A2.7.4!I7/A2.7.4!I$29</f>
        <v>1.3896800572207666E-2</v>
      </c>
      <c r="J7" s="62">
        <f>A2.7.4!J7/A2.7.4!J$29</f>
        <v>8.2721999295598692E-3</v>
      </c>
      <c r="K7" s="59">
        <f>A2.7.4!K7/A2.7.4!K$29</f>
        <v>7.7764601603894385E-3</v>
      </c>
    </row>
    <row r="8" spans="1:11" ht="13.35" customHeight="1">
      <c r="A8" s="49"/>
      <c r="B8" s="16" t="s">
        <v>23</v>
      </c>
      <c r="C8" s="16" t="s">
        <v>47</v>
      </c>
      <c r="D8" s="62">
        <f>A2.7.4!D8/A2.7.4!D$29</f>
        <v>1.7753945094714878E-2</v>
      </c>
      <c r="E8" s="58">
        <f>A2.7.4!E8/A2.7.4!E$29</f>
        <v>2.5659600141014295E-2</v>
      </c>
      <c r="F8" s="62">
        <f>A2.7.4!F8/A2.7.4!F$29</f>
        <v>1.5020396448044633E-2</v>
      </c>
      <c r="G8" s="58">
        <f>A2.7.4!G8/A2.7.4!G$29</f>
        <v>2.1922339895100063E-2</v>
      </c>
      <c r="H8" s="62">
        <f>A2.7.4!H8/A2.7.4!H$29</f>
        <v>1.4733403375139537E-2</v>
      </c>
      <c r="I8" s="58">
        <f>A2.7.4!I8/A2.7.4!I$29</f>
        <v>1.7717814552207695E-2</v>
      </c>
      <c r="J8" s="62">
        <f>A2.7.4!J8/A2.7.4!J$29</f>
        <v>1.0844845076867039E-2</v>
      </c>
      <c r="K8" s="59">
        <f>A2.7.4!K8/A2.7.4!K$29</f>
        <v>9.9889289268544137E-3</v>
      </c>
    </row>
    <row r="9" spans="1:11" ht="13.35" customHeight="1">
      <c r="A9" s="49"/>
      <c r="B9" s="16" t="s">
        <v>24</v>
      </c>
      <c r="C9" s="16" t="s">
        <v>48</v>
      </c>
      <c r="D9" s="62">
        <f>A2.7.4!D9/A2.7.4!D$29</f>
        <v>2.8402236640474716E-2</v>
      </c>
      <c r="E9" s="58">
        <f>A2.7.4!E9/A2.7.4!E$29</f>
        <v>3.3424247549670688E-2</v>
      </c>
      <c r="F9" s="62">
        <f>A2.7.4!F9/A2.7.4!F$29</f>
        <v>2.2395759564850761E-2</v>
      </c>
      <c r="G9" s="58">
        <f>A2.7.4!G9/A2.7.4!G$29</f>
        <v>2.9434367208824877E-2</v>
      </c>
      <c r="H9" s="62">
        <f>A2.7.4!H9/A2.7.4!H$29</f>
        <v>1.843157426255463E-2</v>
      </c>
      <c r="I9" s="58">
        <f>A2.7.4!I9/A2.7.4!I$29</f>
        <v>2.1775721796365978E-2</v>
      </c>
      <c r="J9" s="62">
        <f>A2.7.4!J9/A2.7.4!J$29</f>
        <v>1.3646270134889839E-2</v>
      </c>
      <c r="K9" s="59">
        <f>A2.7.4!K9/A2.7.4!K$29</f>
        <v>1.2536938458500077E-2</v>
      </c>
    </row>
    <row r="10" spans="1:11" s="51" customFormat="1" ht="13.35" customHeight="1">
      <c r="A10" s="49"/>
      <c r="B10" s="16" t="s">
        <v>25</v>
      </c>
      <c r="C10" s="16" t="s">
        <v>49</v>
      </c>
      <c r="D10" s="62">
        <f>A2.7.4!D10/A2.7.4!D$29</f>
        <v>3.5744269831436859E-2</v>
      </c>
      <c r="E10" s="58">
        <f>A2.7.4!E10/A2.7.4!E$29</f>
        <v>3.6683517872603238E-2</v>
      </c>
      <c r="F10" s="62">
        <f>A2.7.4!F10/A2.7.4!F$29</f>
        <v>3.2403572966194144E-2</v>
      </c>
      <c r="G10" s="58">
        <f>A2.7.4!G10/A2.7.4!G$29</f>
        <v>3.3912717276692178E-2</v>
      </c>
      <c r="H10" s="62">
        <f>A2.7.4!H10/A2.7.4!H$29</f>
        <v>2.881518083189237E-2</v>
      </c>
      <c r="I10" s="58">
        <f>A2.7.4!I10/A2.7.4!I$29</f>
        <v>2.8543289775396545E-2</v>
      </c>
      <c r="J10" s="62">
        <f>A2.7.4!J10/A2.7.4!J$29</f>
        <v>2.0366680012161457E-2</v>
      </c>
      <c r="K10" s="59">
        <f>A2.7.4!K10/A2.7.4!K$29</f>
        <v>1.8172392565669507E-2</v>
      </c>
    </row>
    <row r="11" spans="1:11" s="1" customFormat="1" ht="13.35" customHeight="1">
      <c r="A11" s="26"/>
      <c r="B11" s="16" t="s">
        <v>26</v>
      </c>
      <c r="C11" s="16" t="s">
        <v>50</v>
      </c>
      <c r="D11" s="62">
        <f>A2.7.4!D11/A2.7.4!D$29</f>
        <v>4.1219209513873041E-2</v>
      </c>
      <c r="E11" s="58">
        <f>A2.7.4!E11/A2.7.4!E$29</f>
        <v>4.1218882587664422E-2</v>
      </c>
      <c r="F11" s="62">
        <f>A2.7.4!F11/A2.7.4!F$29</f>
        <v>3.8806247344334625E-2</v>
      </c>
      <c r="G11" s="58">
        <f>A2.7.4!G11/A2.7.4!G$29</f>
        <v>3.6692945037615526E-2</v>
      </c>
      <c r="H11" s="62">
        <f>A2.7.4!H11/A2.7.4!H$29</f>
        <v>4.0921560473074034E-2</v>
      </c>
      <c r="I11" s="58">
        <f>A2.7.4!I11/A2.7.4!I$29</f>
        <v>3.1844138971496731E-2</v>
      </c>
      <c r="J11" s="62">
        <f>A2.7.4!J11/A2.7.4!J$29</f>
        <v>2.869231209192136E-2</v>
      </c>
      <c r="K11" s="59">
        <f>A2.7.4!K11/A2.7.4!K$29</f>
        <v>2.520773195078576E-2</v>
      </c>
    </row>
    <row r="12" spans="1:11" s="1" customFormat="1" ht="13.35" customHeight="1">
      <c r="A12" s="26"/>
      <c r="B12" s="16" t="s">
        <v>27</v>
      </c>
      <c r="C12" s="16" t="s">
        <v>51</v>
      </c>
      <c r="D12" s="62">
        <f>A2.7.4!D12/A2.7.4!D$29</f>
        <v>4.4460769130448961E-2</v>
      </c>
      <c r="E12" s="58">
        <f>A2.7.4!E12/A2.7.4!E$29</f>
        <v>4.2460696997470751E-2</v>
      </c>
      <c r="F12" s="62">
        <f>A2.7.4!F12/A2.7.4!F$29</f>
        <v>4.1472934021312857E-2</v>
      </c>
      <c r="G12" s="58">
        <f>A2.7.4!G12/A2.7.4!G$29</f>
        <v>3.9350538008768705E-2</v>
      </c>
      <c r="H12" s="62">
        <f>A2.7.4!H12/A2.7.4!H$29</f>
        <v>4.3053822750454177E-2</v>
      </c>
      <c r="I12" s="58">
        <f>A2.7.4!I12/A2.7.4!I$29</f>
        <v>3.3453479232620202E-2</v>
      </c>
      <c r="J12" s="62">
        <f>A2.7.4!J12/A2.7.4!J$29</f>
        <v>3.8348479968211634E-2</v>
      </c>
      <c r="K12" s="59">
        <f>A2.7.4!K12/A2.7.4!K$29</f>
        <v>3.3004086715604578E-2</v>
      </c>
    </row>
    <row r="13" spans="1:11" s="1" customFormat="1" ht="13.35" customHeight="1">
      <c r="A13" s="26"/>
      <c r="B13" s="27" t="s">
        <v>28</v>
      </c>
      <c r="C13" s="27" t="s">
        <v>52</v>
      </c>
      <c r="D13" s="62">
        <f>A2.7.4!D13/A2.7.4!D$29</f>
        <v>5.0552129862084703E-2</v>
      </c>
      <c r="E13" s="58">
        <f>A2.7.4!E13/A2.7.4!E$29</f>
        <v>4.5451716104978952E-2</v>
      </c>
      <c r="F13" s="62">
        <f>A2.7.4!F13/A2.7.4!F$29</f>
        <v>4.2921180320734026E-2</v>
      </c>
      <c r="G13" s="58">
        <f>A2.7.4!G13/A2.7.4!G$29</f>
        <v>3.895032010935897E-2</v>
      </c>
      <c r="H13" s="62">
        <f>A2.7.4!H13/A2.7.4!H$29</f>
        <v>4.3787072909142646E-2</v>
      </c>
      <c r="I13" s="58">
        <f>A2.7.4!I13/A2.7.4!I$29</f>
        <v>3.4968600362709226E-2</v>
      </c>
      <c r="J13" s="62">
        <f>A2.7.4!J13/A2.7.4!J$29</f>
        <v>3.7105241769191173E-2</v>
      </c>
      <c r="K13" s="59">
        <f>A2.7.4!K13/A2.7.4!K$29</f>
        <v>3.3391362274565815E-2</v>
      </c>
    </row>
    <row r="14" spans="1:11" s="1" customFormat="1" ht="13.35" customHeight="1">
      <c r="A14" s="26"/>
      <c r="B14" s="27" t="s">
        <v>29</v>
      </c>
      <c r="C14" s="27" t="s">
        <v>53</v>
      </c>
      <c r="D14" s="62">
        <f>A2.7.4!D14/A2.7.4!D$29</f>
        <v>5.5272081118972319E-2</v>
      </c>
      <c r="E14" s="58">
        <f>A2.7.4!E14/A2.7.4!E$29</f>
        <v>4.7967477498137512E-2</v>
      </c>
      <c r="F14" s="62">
        <f>A2.7.4!F14/A2.7.4!F$29</f>
        <v>4.7355965621034092E-2</v>
      </c>
      <c r="G14" s="58">
        <f>A2.7.4!G14/A2.7.4!G$29</f>
        <v>4.140529290983111E-2</v>
      </c>
      <c r="H14" s="62">
        <f>A2.7.4!H14/A2.7.4!H$29</f>
        <v>4.4539019122872295E-2</v>
      </c>
      <c r="I14" s="58">
        <f>A2.7.4!I14/A2.7.4!I$29</f>
        <v>3.3925570620960889E-2</v>
      </c>
      <c r="J14" s="62">
        <f>A2.7.4!J14/A2.7.4!J$29</f>
        <v>3.5283280703919659E-2</v>
      </c>
      <c r="K14" s="59">
        <f>A2.7.4!K14/A2.7.4!K$29</f>
        <v>3.2439487369032509E-2</v>
      </c>
    </row>
    <row r="15" spans="1:11" customFormat="1" ht="13.35" customHeight="1">
      <c r="A15" s="26"/>
      <c r="B15" s="27" t="s">
        <v>30</v>
      </c>
      <c r="C15" s="27" t="s">
        <v>54</v>
      </c>
      <c r="D15" s="62">
        <f>A2.7.4!D15/A2.7.4!D$29</f>
        <v>6.0541207492419549E-2</v>
      </c>
      <c r="E15" s="58">
        <f>A2.7.4!E15/A2.7.4!E$29</f>
        <v>5.1013176740290704E-2</v>
      </c>
      <c r="F15" s="62">
        <f>A2.7.4!F15/A2.7.4!F$29</f>
        <v>5.2281785207439709E-2</v>
      </c>
      <c r="G15" s="58">
        <f>A2.7.4!G15/A2.7.4!G$29</f>
        <v>4.2873882308411909E-2</v>
      </c>
      <c r="H15" s="62">
        <f>A2.7.4!H15/A2.7.4!H$29</f>
        <v>4.5752894696521988E-2</v>
      </c>
      <c r="I15" s="58">
        <f>A2.7.4!I15/A2.7.4!I$29</f>
        <v>3.3849230542333332E-2</v>
      </c>
      <c r="J15" s="62">
        <f>A2.7.4!J15/A2.7.4!J$29</f>
        <v>3.687495672748399E-2</v>
      </c>
      <c r="K15" s="59">
        <f>A2.7.4!K15/A2.7.4!K$29</f>
        <v>3.3905413009825587E-2</v>
      </c>
    </row>
    <row r="16" spans="1:11" customFormat="1" ht="13.35" customHeight="1">
      <c r="A16" s="26"/>
      <c r="B16" s="27" t="s">
        <v>31</v>
      </c>
      <c r="C16" s="27" t="s">
        <v>55</v>
      </c>
      <c r="D16" s="62">
        <f>A2.7.4!D16/A2.7.4!D$29</f>
        <v>6.4534189462358574E-2</v>
      </c>
      <c r="E16" s="58">
        <f>A2.7.4!E16/A2.7.4!E$29</f>
        <v>4.9212033174882215E-2</v>
      </c>
      <c r="F16" s="62">
        <f>A2.7.4!F16/A2.7.4!F$29</f>
        <v>4.8036472544758221E-2</v>
      </c>
      <c r="G16" s="58">
        <f>A2.7.4!G16/A2.7.4!G$29</f>
        <v>4.2112585383597072E-2</v>
      </c>
      <c r="H16" s="62">
        <f>A2.7.4!H16/A2.7.4!H$29</f>
        <v>4.9163328736839804E-2</v>
      </c>
      <c r="I16" s="58">
        <f>A2.7.4!I16/A2.7.4!I$29</f>
        <v>3.5204453646490177E-2</v>
      </c>
      <c r="J16" s="62">
        <f>A2.7.4!J16/A2.7.4!J$29</f>
        <v>3.8287522163053853E-2</v>
      </c>
      <c r="K16" s="59">
        <f>A2.7.4!K16/A2.7.4!K$29</f>
        <v>3.6651866650964572E-2</v>
      </c>
    </row>
    <row r="17" spans="1:11" customFormat="1" ht="13.35" customHeight="1">
      <c r="A17" s="26"/>
      <c r="B17" s="27" t="s">
        <v>32</v>
      </c>
      <c r="C17" s="27" t="s">
        <v>56</v>
      </c>
      <c r="D17" s="62">
        <f>A2.7.4!D17/A2.7.4!D$29</f>
        <v>5.2520092269570606E-2</v>
      </c>
      <c r="E17" s="58">
        <f>A2.7.4!E17/A2.7.4!E$29</f>
        <v>4.3871872710513862E-2</v>
      </c>
      <c r="F17" s="62">
        <f>A2.7.4!F17/A2.7.4!F$29</f>
        <v>5.3967341295561369E-2</v>
      </c>
      <c r="G17" s="58">
        <f>A2.7.4!G17/A2.7.4!G$29</f>
        <v>4.4282224912911387E-2</v>
      </c>
      <c r="H17" s="62">
        <f>A2.7.4!H17/A2.7.4!H$29</f>
        <v>4.4115393875719569E-2</v>
      </c>
      <c r="I17" s="58">
        <f>A2.7.4!I17/A2.7.4!I$29</f>
        <v>3.3002901835663463E-2</v>
      </c>
      <c r="J17" s="62">
        <f>A2.7.4!J17/A2.7.4!J$29</f>
        <v>4.2140281218674462E-2</v>
      </c>
      <c r="K17" s="59">
        <f>A2.7.4!K17/A2.7.4!K$29</f>
        <v>4.0239447451029225E-2</v>
      </c>
    </row>
    <row r="18" spans="1:11" customFormat="1" ht="13.35" customHeight="1">
      <c r="A18" s="26"/>
      <c r="B18" s="27" t="s">
        <v>33</v>
      </c>
      <c r="C18" s="27" t="s">
        <v>57</v>
      </c>
      <c r="D18" s="62">
        <f>A2.7.4!D18/A2.7.4!D$29</f>
        <v>5.262503667959962E-2</v>
      </c>
      <c r="E18" s="58">
        <f>A2.7.4!E18/A2.7.4!E$29</f>
        <v>4.2730657904151981E-2</v>
      </c>
      <c r="F18" s="62">
        <f>A2.7.4!F18/A2.7.4!F$29</f>
        <v>5.241544783546271E-2</v>
      </c>
      <c r="G18" s="58">
        <f>A2.7.4!G18/A2.7.4!G$29</f>
        <v>3.9844876059745508E-2</v>
      </c>
      <c r="H18" s="62">
        <f>A2.7.4!H18/A2.7.4!H$29</f>
        <v>4.0836744223374993E-2</v>
      </c>
      <c r="I18" s="58">
        <f>A2.7.4!I18/A2.7.4!I$29</f>
        <v>3.2636694188935583E-2</v>
      </c>
      <c r="J18" s="62">
        <f>A2.7.4!J18/A2.7.4!J$29</f>
        <v>3.859645029906953E-2</v>
      </c>
      <c r="K18" s="59">
        <f>A2.7.4!K18/A2.7.4!K$29</f>
        <v>3.637720571781413E-2</v>
      </c>
    </row>
    <row r="19" spans="1:11" customFormat="1" ht="13.35" customHeight="1">
      <c r="A19" s="26"/>
      <c r="B19" s="27" t="s">
        <v>34</v>
      </c>
      <c r="C19" s="27" t="s">
        <v>58</v>
      </c>
      <c r="D19" s="62">
        <f>A2.7.4!D19/A2.7.4!D$29</f>
        <v>4.8237749013726322E-2</v>
      </c>
      <c r="E19" s="58">
        <f>A2.7.4!E19/A2.7.4!E$29</f>
        <v>3.8009499431046985E-2</v>
      </c>
      <c r="F19" s="62">
        <f>A2.7.4!F19/A2.7.4!F$29</f>
        <v>4.3862915608699607E-2</v>
      </c>
      <c r="G19" s="58">
        <f>A2.7.4!G19/A2.7.4!G$29</f>
        <v>3.7044780371176068E-2</v>
      </c>
      <c r="H19" s="62">
        <f>A2.7.4!H19/A2.7.4!H$29</f>
        <v>4.4683571548434636E-2</v>
      </c>
      <c r="I19" s="58">
        <f>A2.7.4!I19/A2.7.4!I$29</f>
        <v>3.4013367170476004E-2</v>
      </c>
      <c r="J19" s="62">
        <f>A2.7.4!J19/A2.7.4!J$29</f>
        <v>3.7276826702227893E-2</v>
      </c>
      <c r="K19" s="59">
        <f>A2.7.4!K19/A2.7.4!K$29</f>
        <v>3.5287443001161677E-2</v>
      </c>
    </row>
    <row r="20" spans="1:11" customFormat="1" ht="13.35" customHeight="1">
      <c r="A20" s="26"/>
      <c r="B20" s="27" t="s">
        <v>35</v>
      </c>
      <c r="C20" s="87" t="s">
        <v>59</v>
      </c>
      <c r="D20" s="62">
        <f>A2.7.4!D20/A2.7.4!D$29</f>
        <v>0.1454875941443057</v>
      </c>
      <c r="E20" s="58">
        <f>A2.7.4!E20/A2.7.4!E$29</f>
        <v>0.12803238211021936</v>
      </c>
      <c r="F20" s="62">
        <f>A2.7.4!F20/A2.7.4!F$29</f>
        <v>0.16637573549619789</v>
      </c>
      <c r="G20" s="58">
        <f>A2.7.4!G20/A2.7.4!G$29</f>
        <v>0.14065463524756533</v>
      </c>
      <c r="H20" s="62">
        <f>A2.7.4!H20/A2.7.4!H$29</f>
        <v>0.17873291818971115</v>
      </c>
      <c r="I20" s="58">
        <f>A2.7.4!I20/A2.7.4!I$29</f>
        <v>0.13786757736583655</v>
      </c>
      <c r="J20" s="62">
        <f>A2.7.4!J20/A2.7.4!J$29</f>
        <v>0.18282073588864439</v>
      </c>
      <c r="K20" s="59">
        <f>A2.7.4!K20/A2.7.4!K$29</f>
        <v>0.18113759281619637</v>
      </c>
    </row>
    <row r="21" spans="1:11" customFormat="1" ht="13.35" customHeight="1">
      <c r="A21" s="26"/>
      <c r="B21" s="27" t="s">
        <v>36</v>
      </c>
      <c r="C21" s="27" t="s">
        <v>60</v>
      </c>
      <c r="D21" s="62">
        <f>A2.7.4!D21/A2.7.4!D$29</f>
        <v>0.1284081461315249</v>
      </c>
      <c r="E21" s="58">
        <f>A2.7.4!E21/A2.7.4!E$29</f>
        <v>0.12589266843347313</v>
      </c>
      <c r="F21" s="62">
        <f>A2.7.4!F21/A2.7.4!F$29</f>
        <v>0.1436967049582738</v>
      </c>
      <c r="G21" s="58">
        <f>A2.7.4!G21/A2.7.4!G$29</f>
        <v>0.13915027585921905</v>
      </c>
      <c r="H21" s="62">
        <f>A2.7.4!H21/A2.7.4!H$29</f>
        <v>0.15611889961404046</v>
      </c>
      <c r="I21" s="58">
        <f>A2.7.4!I21/A2.7.4!I$29</f>
        <v>0.13891999438886987</v>
      </c>
      <c r="J21" s="62">
        <f>A2.7.4!J21/A2.7.4!J$29</f>
        <v>0.18750959521007113</v>
      </c>
      <c r="K21" s="59">
        <f>A2.7.4!K21/A2.7.4!K$29</f>
        <v>0.1900331490379398</v>
      </c>
    </row>
    <row r="22" spans="1:11" customFormat="1" ht="13.35" customHeight="1">
      <c r="A22" s="26"/>
      <c r="B22" s="27" t="s">
        <v>37</v>
      </c>
      <c r="C22" s="27" t="s">
        <v>61</v>
      </c>
      <c r="D22" s="62">
        <f>A2.7.4!D22/A2.7.4!D$29</f>
        <v>5.5060663982263378E-2</v>
      </c>
      <c r="E22" s="58">
        <f>A2.7.4!E22/A2.7.4!E$29</f>
        <v>5.7124111751268351E-2</v>
      </c>
      <c r="F22" s="62">
        <f>A2.7.4!F22/A2.7.4!F$29</f>
        <v>6.5971183275381595E-2</v>
      </c>
      <c r="G22" s="58">
        <f>A2.7.4!G22/A2.7.4!G$29</f>
        <v>6.7332877598430999E-2</v>
      </c>
      <c r="H22" s="62">
        <f>A2.7.4!H22/A2.7.4!H$29</f>
        <v>6.9332268114197335E-2</v>
      </c>
      <c r="I22" s="58">
        <f>A2.7.4!I22/A2.7.4!I$29</f>
        <v>6.6789268720307049E-2</v>
      </c>
      <c r="J22" s="62">
        <f>A2.7.4!J22/A2.7.4!J$29</f>
        <v>8.6086343344461275E-2</v>
      </c>
      <c r="K22" s="59">
        <f>A2.7.4!K22/A2.7.4!K$29</f>
        <v>8.9185114682313216E-2</v>
      </c>
    </row>
    <row r="23" spans="1:11" customFormat="1" ht="13.35" customHeight="1">
      <c r="A23" s="26"/>
      <c r="B23" s="27" t="s">
        <v>38</v>
      </c>
      <c r="C23" s="27" t="s">
        <v>62</v>
      </c>
      <c r="D23" s="62">
        <f>A2.7.4!D23/A2.7.4!D$29</f>
        <v>2.6197385152098074E-2</v>
      </c>
      <c r="E23" s="58">
        <f>A2.7.4!E23/A2.7.4!E$29</f>
        <v>2.8449132149301407E-2</v>
      </c>
      <c r="F23" s="62">
        <f>A2.7.4!F23/A2.7.4!F$29</f>
        <v>3.3608412585110263E-2</v>
      </c>
      <c r="G23" s="58">
        <f>A2.7.4!G23/A2.7.4!G$29</f>
        <v>3.5885933827773747E-2</v>
      </c>
      <c r="H23" s="62">
        <f>A2.7.4!H23/A2.7.4!H$29</f>
        <v>3.4446341410029113E-2</v>
      </c>
      <c r="I23" s="58">
        <f>A2.7.4!I23/A2.7.4!I$29</f>
        <v>3.563556056187122E-2</v>
      </c>
      <c r="J23" s="62">
        <f>A2.7.4!J23/A2.7.4!J$29</f>
        <v>4.5157692573984713E-2</v>
      </c>
      <c r="K23" s="59">
        <f>A2.7.4!K23/A2.7.4!K$29</f>
        <v>4.7612435849017545E-2</v>
      </c>
    </row>
    <row r="24" spans="1:11" customFormat="1" ht="13.35" customHeight="1">
      <c r="A24" s="26"/>
      <c r="B24" s="27" t="s">
        <v>39</v>
      </c>
      <c r="C24" s="27" t="s">
        <v>63</v>
      </c>
      <c r="D24" s="62">
        <f>A2.7.4!D24/A2.7.4!D$29</f>
        <v>2.4873353493528087E-2</v>
      </c>
      <c r="E24" s="58">
        <f>A2.7.4!E24/A2.7.4!E$29</f>
        <v>2.9538285989157677E-2</v>
      </c>
      <c r="F24" s="62">
        <f>A2.7.4!F24/A2.7.4!F$29</f>
        <v>3.1961782806202321E-2</v>
      </c>
      <c r="G24" s="58">
        <f>A2.7.4!G24/A2.7.4!G$29</f>
        <v>3.7509208819942567E-2</v>
      </c>
      <c r="H24" s="62">
        <f>A2.7.4!H24/A2.7.4!H$29</f>
        <v>3.4819350508167896E-2</v>
      </c>
      <c r="I24" s="58">
        <f>A2.7.4!I24/A2.7.4!I$29</f>
        <v>3.8564979572840601E-2</v>
      </c>
      <c r="J24" s="62">
        <f>A2.7.4!J24/A2.7.4!J$29</f>
        <v>4.9897726349124163E-2</v>
      </c>
      <c r="K24" s="59">
        <f>A2.7.4!K24/A2.7.4!K$29</f>
        <v>5.2736051262195535E-2</v>
      </c>
    </row>
    <row r="25" spans="1:11" customFormat="1" ht="13.35" customHeight="1">
      <c r="A25" s="26"/>
      <c r="B25" s="27" t="s">
        <v>40</v>
      </c>
      <c r="C25" s="27" t="s">
        <v>64</v>
      </c>
      <c r="D25" s="62">
        <f>A2.7.4!D25/A2.7.4!D$29</f>
        <v>8.2040037820742713E-3</v>
      </c>
      <c r="E25" s="58">
        <f>A2.7.4!E25/A2.7.4!E$29</f>
        <v>1.0339268022014054E-2</v>
      </c>
      <c r="F25" s="62">
        <f>A2.7.4!F25/A2.7.4!F$29</f>
        <v>1.0363778084394114E-2</v>
      </c>
      <c r="G25" s="58">
        <f>A2.7.4!G25/A2.7.4!G$29</f>
        <v>1.3350586781599134E-2</v>
      </c>
      <c r="H25" s="62">
        <f>A2.7.4!H25/A2.7.4!H$29</f>
        <v>1.0440150735803766E-2</v>
      </c>
      <c r="I25" s="58">
        <f>A2.7.4!I25/A2.7.4!I$29</f>
        <v>1.316744052458318E-2</v>
      </c>
      <c r="J25" s="62">
        <f>A2.7.4!J25/A2.7.4!J$29</f>
        <v>1.6673088558897282E-2</v>
      </c>
      <c r="K25" s="59">
        <f>A2.7.4!K25/A2.7.4!K$29</f>
        <v>1.808665487455028E-2</v>
      </c>
    </row>
    <row r="26" spans="1:11" customFormat="1" ht="13.35" customHeight="1">
      <c r="A26" s="26"/>
      <c r="B26" s="27" t="s">
        <v>41</v>
      </c>
      <c r="C26" s="27" t="s">
        <v>65</v>
      </c>
      <c r="D26" s="62">
        <f>A2.7.4!D26/A2.7.4!D$29</f>
        <v>7.5626202275765383E-3</v>
      </c>
      <c r="E26" s="58">
        <f>A2.7.4!E26/A2.7.4!E$29</f>
        <v>9.7963661353573928E-3</v>
      </c>
      <c r="F26" s="62">
        <f>A2.7.4!F26/A2.7.4!F$29</f>
        <v>9.2109965416553724E-3</v>
      </c>
      <c r="G26" s="58">
        <f>A2.7.4!G26/A2.7.4!G$29</f>
        <v>1.2916075628667312E-2</v>
      </c>
      <c r="H26" s="62">
        <f>A2.7.4!H26/A2.7.4!H$29</f>
        <v>8.5623372075207382E-3</v>
      </c>
      <c r="I26" s="58">
        <f>A2.7.4!I26/A2.7.4!I$29</f>
        <v>1.1442299231492124E-2</v>
      </c>
      <c r="J26" s="62">
        <f>A2.7.4!J26/A2.7.4!J$29</f>
        <v>1.4869189065524372E-2</v>
      </c>
      <c r="K26" s="59">
        <f>A2.7.4!K26/A2.7.4!K$29</f>
        <v>1.6747181408090138E-2</v>
      </c>
    </row>
    <row r="27" spans="1:11" customFormat="1" ht="13.35" customHeight="1">
      <c r="A27" s="26"/>
      <c r="B27" s="27" t="s">
        <v>42</v>
      </c>
      <c r="C27" s="27" t="s">
        <v>66</v>
      </c>
      <c r="D27" s="62">
        <f>A2.7.4!D27/A2.7.4!D$29</f>
        <v>2.1294545335985133E-3</v>
      </c>
      <c r="E27" s="58">
        <f>A2.7.4!E27/A2.7.4!E$29</f>
        <v>2.9430175923255706E-3</v>
      </c>
      <c r="F27" s="62">
        <f>A2.7.4!F27/A2.7.4!F$29</f>
        <v>2.3426134279821071E-3</v>
      </c>
      <c r="G27" s="58">
        <f>A2.7.4!G27/A2.7.4!G$29</f>
        <v>3.3558198934514174E-3</v>
      </c>
      <c r="H27" s="62">
        <f>A2.7.4!H27/A2.7.4!H$29</f>
        <v>2.0989741793799839E-3</v>
      </c>
      <c r="I27" s="58">
        <f>A2.7.4!I27/A2.7.4!I$29</f>
        <v>3.0455495034135602E-3</v>
      </c>
      <c r="J27" s="62">
        <f>A2.7.4!J27/A2.7.4!J$29</f>
        <v>3.9460771770967228E-3</v>
      </c>
      <c r="K27" s="59">
        <f>A2.7.4!K27/A2.7.4!K$29</f>
        <v>4.5267531643355206E-3</v>
      </c>
    </row>
    <row r="28" spans="1:11" customFormat="1" ht="13.35" customHeight="1">
      <c r="A28" s="26"/>
      <c r="B28" s="27" t="s">
        <v>43</v>
      </c>
      <c r="C28" s="27" t="s">
        <v>67</v>
      </c>
      <c r="D28" s="62">
        <f>A2.7.4!D28/A2.7.4!D$29</f>
        <v>4.2487202895243064E-4</v>
      </c>
      <c r="E28" s="58">
        <f>A2.7.4!E28/A2.7.4!E$29</f>
        <v>6.2863696255433476E-4</v>
      </c>
      <c r="F28" s="62">
        <f>A2.7.4!F28/A2.7.4!F$29</f>
        <v>4.2772040967360995E-4</v>
      </c>
      <c r="G28" s="58">
        <f>A2.7.4!G28/A2.7.4!G$29</f>
        <v>6.5694891297377446E-4</v>
      </c>
      <c r="H28" s="62">
        <f>A2.7.4!H28/A2.7.4!H$29</f>
        <v>3.5978505920721433E-4</v>
      </c>
      <c r="I28" s="58">
        <f>A2.7.4!I28/A2.7.4!I$29</f>
        <v>5.3251761980385585E-4</v>
      </c>
      <c r="J28" s="62">
        <f>A2.7.4!J28/A2.7.4!J$29</f>
        <v>6.4984030560179653E-4</v>
      </c>
      <c r="K28" s="59">
        <f>A2.7.4!K28/A2.7.4!K$29</f>
        <v>8.0766248426263813E-4</v>
      </c>
    </row>
    <row r="29" spans="1:11" customFormat="1" ht="13.35" customHeight="1">
      <c r="A29" s="88"/>
      <c r="B29" s="75" t="s">
        <v>9</v>
      </c>
      <c r="C29" s="89"/>
      <c r="D29" s="63">
        <f>A2.7.4!D29/A2.7.4!D$29</f>
        <v>1</v>
      </c>
      <c r="E29" s="60">
        <f>A2.7.4!E29/A2.7.4!E$29</f>
        <v>1</v>
      </c>
      <c r="F29" s="63">
        <f>A2.7.4!F29/A2.7.4!F$29</f>
        <v>1</v>
      </c>
      <c r="G29" s="60">
        <f>A2.7.4!G29/A2.7.4!G$29</f>
        <v>1</v>
      </c>
      <c r="H29" s="63">
        <f>A2.7.4!H29/A2.7.4!H$29</f>
        <v>1</v>
      </c>
      <c r="I29" s="60">
        <f>A2.7.4!I29/A2.7.4!I$29</f>
        <v>1</v>
      </c>
      <c r="J29" s="63">
        <f>A2.7.4!J29/A2.7.4!J$29</f>
        <v>1</v>
      </c>
      <c r="K29" s="61">
        <f>A2.7.4!K29/A2.7.4!K$29</f>
        <v>1</v>
      </c>
    </row>
    <row r="30" spans="1:11" s="1" customFormat="1" ht="13.35" customHeight="1"/>
    <row r="31" spans="1:11" customFormat="1" ht="13.35" customHeight="1">
      <c r="F31" s="560" t="s">
        <v>506</v>
      </c>
      <c r="H31" s="1"/>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sheetPr codeName="Sheet36" enableFormatConditionsCalculation="0">
    <pageSetUpPr fitToPage="1"/>
  </sheetPr>
  <dimension ref="A1:K34"/>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9.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443</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33.75">
      <c r="A3" s="80"/>
      <c r="B3" s="703" t="s">
        <v>95</v>
      </c>
      <c r="C3" s="702"/>
      <c r="D3" s="32" t="s">
        <v>18</v>
      </c>
      <c r="E3" s="33" t="s">
        <v>98</v>
      </c>
      <c r="F3" s="32" t="s">
        <v>18</v>
      </c>
      <c r="G3" s="33" t="s">
        <v>98</v>
      </c>
      <c r="H3" s="32" t="s">
        <v>18</v>
      </c>
      <c r="I3" s="33" t="s">
        <v>98</v>
      </c>
      <c r="J3" s="32" t="s">
        <v>18</v>
      </c>
      <c r="K3" s="86" t="s">
        <v>98</v>
      </c>
    </row>
    <row r="4" spans="1:11" ht="13.35" customHeight="1">
      <c r="A4" s="49"/>
      <c r="B4" s="16" t="s">
        <v>19</v>
      </c>
      <c r="C4" s="16" t="s">
        <v>44</v>
      </c>
      <c r="D4" s="19">
        <v>1072</v>
      </c>
      <c r="E4" s="15">
        <v>275.48547400000001</v>
      </c>
      <c r="F4" s="19">
        <v>1065</v>
      </c>
      <c r="G4" s="15">
        <v>75.882306999999997</v>
      </c>
      <c r="H4" s="19">
        <v>755</v>
      </c>
      <c r="I4" s="15">
        <v>62.417679999999997</v>
      </c>
      <c r="J4" s="19">
        <v>689</v>
      </c>
      <c r="K4" s="24">
        <v>67.668038999999993</v>
      </c>
    </row>
    <row r="5" spans="1:11" ht="13.35" customHeight="1">
      <c r="A5" s="49"/>
      <c r="B5" s="16" t="s">
        <v>20</v>
      </c>
      <c r="C5" s="50" t="s">
        <v>137</v>
      </c>
      <c r="D5" s="19">
        <v>4</v>
      </c>
      <c r="E5" s="15">
        <v>0.21988199999999999</v>
      </c>
      <c r="F5" s="19">
        <v>7</v>
      </c>
      <c r="G5" s="15">
        <v>0.21659600000000001</v>
      </c>
      <c r="H5" s="19">
        <v>4</v>
      </c>
      <c r="I5" s="15">
        <v>0.12013799999999999</v>
      </c>
      <c r="J5" s="19">
        <v>3</v>
      </c>
      <c r="K5" s="24">
        <v>0.14197299999999999</v>
      </c>
    </row>
    <row r="6" spans="1:11" ht="13.35" customHeight="1">
      <c r="A6" s="49"/>
      <c r="B6" s="16" t="s">
        <v>21</v>
      </c>
      <c r="C6" s="16" t="s">
        <v>45</v>
      </c>
      <c r="D6" s="19">
        <v>546</v>
      </c>
      <c r="E6" s="15">
        <v>22.202138000000001</v>
      </c>
      <c r="F6" s="19">
        <v>564</v>
      </c>
      <c r="G6" s="15">
        <v>25.470877999999999</v>
      </c>
      <c r="H6" s="19">
        <v>399</v>
      </c>
      <c r="I6" s="15">
        <v>19.431999000000001</v>
      </c>
      <c r="J6" s="19">
        <v>327</v>
      </c>
      <c r="K6" s="24">
        <v>17.402685999999999</v>
      </c>
    </row>
    <row r="7" spans="1:11" ht="13.35" customHeight="1">
      <c r="A7" s="49"/>
      <c r="B7" s="16" t="s">
        <v>22</v>
      </c>
      <c r="C7" s="16" t="s">
        <v>46</v>
      </c>
      <c r="D7" s="19">
        <v>440</v>
      </c>
      <c r="E7" s="15">
        <v>16.366398</v>
      </c>
      <c r="F7" s="19">
        <v>407</v>
      </c>
      <c r="G7" s="15">
        <v>15.874532</v>
      </c>
      <c r="H7" s="19">
        <v>308</v>
      </c>
      <c r="I7" s="15">
        <v>13.751632000000001</v>
      </c>
      <c r="J7" s="19">
        <v>268</v>
      </c>
      <c r="K7" s="24">
        <v>13.530662</v>
      </c>
    </row>
    <row r="8" spans="1:11" ht="13.35" customHeight="1">
      <c r="A8" s="49"/>
      <c r="B8" s="16" t="s">
        <v>23</v>
      </c>
      <c r="C8" s="16" t="s">
        <v>47</v>
      </c>
      <c r="D8" s="19">
        <v>631</v>
      </c>
      <c r="E8" s="15">
        <v>20.476084</v>
      </c>
      <c r="F8" s="19">
        <v>593</v>
      </c>
      <c r="G8" s="15">
        <v>20.682673999999999</v>
      </c>
      <c r="H8" s="19">
        <v>427</v>
      </c>
      <c r="I8" s="15">
        <v>16.642464</v>
      </c>
      <c r="J8" s="19">
        <v>364</v>
      </c>
      <c r="K8" s="24">
        <v>15.744218</v>
      </c>
    </row>
    <row r="9" spans="1:11" ht="13.35" customHeight="1">
      <c r="A9" s="49"/>
      <c r="B9" s="16" t="s">
        <v>24</v>
      </c>
      <c r="C9" s="16" t="s">
        <v>48</v>
      </c>
      <c r="D9" s="19">
        <v>809</v>
      </c>
      <c r="E9" s="15">
        <v>22.924151999999999</v>
      </c>
      <c r="F9" s="19">
        <v>841</v>
      </c>
      <c r="G9" s="15">
        <v>26.990438000000001</v>
      </c>
      <c r="H9" s="19">
        <v>592</v>
      </c>
      <c r="I9" s="15">
        <v>20.907226999999999</v>
      </c>
      <c r="J9" s="19">
        <v>494</v>
      </c>
      <c r="K9" s="24">
        <v>20.634896999999999</v>
      </c>
    </row>
    <row r="10" spans="1:11" s="51" customFormat="1" ht="13.35" customHeight="1">
      <c r="A10" s="49"/>
      <c r="B10" s="16" t="s">
        <v>25</v>
      </c>
      <c r="C10" s="16" t="s">
        <v>49</v>
      </c>
      <c r="D10" s="19">
        <v>941</v>
      </c>
      <c r="E10" s="15">
        <v>25.547460999999998</v>
      </c>
      <c r="F10" s="19">
        <v>928</v>
      </c>
      <c r="G10" s="15">
        <v>27.569030000000001</v>
      </c>
      <c r="H10" s="19">
        <v>805</v>
      </c>
      <c r="I10" s="15">
        <v>26.139123999999999</v>
      </c>
      <c r="J10" s="19">
        <v>693</v>
      </c>
      <c r="K10" s="24">
        <v>27.504287999999999</v>
      </c>
    </row>
    <row r="11" spans="1:11" s="1" customFormat="1" ht="13.35" customHeight="1">
      <c r="A11" s="26"/>
      <c r="B11" s="16" t="s">
        <v>26</v>
      </c>
      <c r="C11" s="16" t="s">
        <v>50</v>
      </c>
      <c r="D11" s="19">
        <v>1069</v>
      </c>
      <c r="E11" s="15">
        <v>28.455133</v>
      </c>
      <c r="F11" s="19">
        <v>1088</v>
      </c>
      <c r="G11" s="15">
        <v>31.05489</v>
      </c>
      <c r="H11" s="19">
        <v>888</v>
      </c>
      <c r="I11" s="15">
        <v>28.233485000000002</v>
      </c>
      <c r="J11" s="19">
        <v>800</v>
      </c>
      <c r="K11" s="24">
        <v>29.351661</v>
      </c>
    </row>
    <row r="12" spans="1:11" s="1" customFormat="1" ht="13.35" customHeight="1">
      <c r="A12" s="26"/>
      <c r="B12" s="16" t="s">
        <v>27</v>
      </c>
      <c r="C12" s="16" t="s">
        <v>51</v>
      </c>
      <c r="D12" s="19">
        <v>1164</v>
      </c>
      <c r="E12" s="15">
        <v>30.708705999999999</v>
      </c>
      <c r="F12" s="19">
        <v>1139</v>
      </c>
      <c r="G12" s="15">
        <v>31.639199999999999</v>
      </c>
      <c r="H12" s="19">
        <v>947</v>
      </c>
      <c r="I12" s="15">
        <v>27.280431</v>
      </c>
      <c r="J12" s="19">
        <v>822</v>
      </c>
      <c r="K12" s="24">
        <v>30.690691999999999</v>
      </c>
    </row>
    <row r="13" spans="1:11" s="1" customFormat="1" ht="13.35" customHeight="1">
      <c r="A13" s="26"/>
      <c r="B13" s="27" t="s">
        <v>28</v>
      </c>
      <c r="C13" s="27" t="s">
        <v>52</v>
      </c>
      <c r="D13" s="19">
        <v>1201</v>
      </c>
      <c r="E13" s="15">
        <v>30.127853000000002</v>
      </c>
      <c r="F13" s="19">
        <v>1175</v>
      </c>
      <c r="G13" s="15">
        <v>31.030823000000002</v>
      </c>
      <c r="H13" s="19">
        <v>1033</v>
      </c>
      <c r="I13" s="15">
        <v>31.433575000000001</v>
      </c>
      <c r="J13" s="19">
        <v>903</v>
      </c>
      <c r="K13" s="24">
        <v>33.484884000000001</v>
      </c>
    </row>
    <row r="14" spans="1:11" s="1" customFormat="1" ht="13.35" customHeight="1">
      <c r="A14" s="26"/>
      <c r="B14" s="27" t="s">
        <v>29</v>
      </c>
      <c r="C14" s="27" t="s">
        <v>53</v>
      </c>
      <c r="D14" s="19">
        <v>1260</v>
      </c>
      <c r="E14" s="15">
        <v>31.003184999999998</v>
      </c>
      <c r="F14" s="19">
        <v>1218</v>
      </c>
      <c r="G14" s="15">
        <v>34.975380000000001</v>
      </c>
      <c r="H14" s="19">
        <v>1028</v>
      </c>
      <c r="I14" s="15">
        <v>32.008057000000001</v>
      </c>
      <c r="J14" s="19">
        <v>978</v>
      </c>
      <c r="K14" s="24">
        <v>40.585818000000003</v>
      </c>
    </row>
    <row r="15" spans="1:11" customFormat="1" ht="13.35" customHeight="1">
      <c r="A15" s="26"/>
      <c r="B15" s="27" t="s">
        <v>30</v>
      </c>
      <c r="C15" s="27" t="s">
        <v>54</v>
      </c>
      <c r="D15" s="19">
        <v>1338</v>
      </c>
      <c r="E15" s="15">
        <v>32.716949</v>
      </c>
      <c r="F15" s="19">
        <v>1289</v>
      </c>
      <c r="G15" s="15">
        <v>34.709757000000003</v>
      </c>
      <c r="H15" s="19">
        <v>1091</v>
      </c>
      <c r="I15" s="15">
        <v>36.086596</v>
      </c>
      <c r="J15" s="19">
        <v>978</v>
      </c>
      <c r="K15" s="24">
        <v>40.591292000000003</v>
      </c>
    </row>
    <row r="16" spans="1:11" customFormat="1" ht="13.35" customHeight="1">
      <c r="A16" s="26"/>
      <c r="B16" s="27" t="s">
        <v>31</v>
      </c>
      <c r="C16" s="27" t="s">
        <v>55</v>
      </c>
      <c r="D16" s="19">
        <v>1201</v>
      </c>
      <c r="E16" s="15">
        <v>31.153986</v>
      </c>
      <c r="F16" s="19">
        <v>1205</v>
      </c>
      <c r="G16" s="15">
        <v>32.546844999999998</v>
      </c>
      <c r="H16" s="19">
        <v>1063</v>
      </c>
      <c r="I16" s="15">
        <v>33.667668999999997</v>
      </c>
      <c r="J16" s="19">
        <v>936</v>
      </c>
      <c r="K16" s="24">
        <v>38.364798999999998</v>
      </c>
    </row>
    <row r="17" spans="1:11" customFormat="1" ht="13.35" customHeight="1">
      <c r="A17" s="26"/>
      <c r="B17" s="27" t="s">
        <v>32</v>
      </c>
      <c r="C17" s="27" t="s">
        <v>56</v>
      </c>
      <c r="D17" s="19">
        <v>1230</v>
      </c>
      <c r="E17" s="15">
        <v>30.331468000000001</v>
      </c>
      <c r="F17" s="19">
        <v>1232</v>
      </c>
      <c r="G17" s="15">
        <v>33.681367999999999</v>
      </c>
      <c r="H17" s="19">
        <v>1059</v>
      </c>
      <c r="I17" s="15">
        <v>34.059150000000002</v>
      </c>
      <c r="J17" s="19">
        <v>912</v>
      </c>
      <c r="K17" s="24">
        <v>38.474102000000002</v>
      </c>
    </row>
    <row r="18" spans="1:11" customFormat="1" ht="13.35" customHeight="1">
      <c r="A18" s="26"/>
      <c r="B18" s="27" t="s">
        <v>33</v>
      </c>
      <c r="C18" s="27" t="s">
        <v>57</v>
      </c>
      <c r="D18" s="19">
        <v>1144</v>
      </c>
      <c r="E18" s="15">
        <v>28.287890999999998</v>
      </c>
      <c r="F18" s="19">
        <v>1245</v>
      </c>
      <c r="G18" s="15">
        <v>34.547311999999998</v>
      </c>
      <c r="H18" s="19">
        <v>1048</v>
      </c>
      <c r="I18" s="15">
        <v>32.390881999999998</v>
      </c>
      <c r="J18" s="19">
        <v>984</v>
      </c>
      <c r="K18" s="24">
        <v>40.029012000000002</v>
      </c>
    </row>
    <row r="19" spans="1:11" customFormat="1" ht="13.35" customHeight="1">
      <c r="A19" s="26"/>
      <c r="B19" s="27" t="s">
        <v>34</v>
      </c>
      <c r="C19" s="27" t="s">
        <v>58</v>
      </c>
      <c r="D19" s="19">
        <v>1103</v>
      </c>
      <c r="E19" s="15">
        <v>29.450690999999999</v>
      </c>
      <c r="F19" s="19">
        <v>1159</v>
      </c>
      <c r="G19" s="15">
        <v>31.734629000000002</v>
      </c>
      <c r="H19" s="19">
        <v>1016</v>
      </c>
      <c r="I19" s="15">
        <v>32.111437000000002</v>
      </c>
      <c r="J19" s="19">
        <v>1041</v>
      </c>
      <c r="K19" s="24">
        <v>45.066192999999998</v>
      </c>
    </row>
    <row r="20" spans="1:11" customFormat="1" ht="13.35" customHeight="1">
      <c r="A20" s="26"/>
      <c r="B20" s="27" t="s">
        <v>35</v>
      </c>
      <c r="C20" s="87" t="s">
        <v>59</v>
      </c>
      <c r="D20" s="19">
        <v>3455</v>
      </c>
      <c r="E20" s="15">
        <v>100.895949</v>
      </c>
      <c r="F20" s="19">
        <v>4016</v>
      </c>
      <c r="G20" s="15">
        <v>120.279794</v>
      </c>
      <c r="H20" s="19">
        <v>4220</v>
      </c>
      <c r="I20" s="15">
        <v>138.927832</v>
      </c>
      <c r="J20" s="19">
        <v>4336</v>
      </c>
      <c r="K20" s="24">
        <v>197.07997800000001</v>
      </c>
    </row>
    <row r="21" spans="1:11" customFormat="1" ht="13.35" customHeight="1">
      <c r="A21" s="26"/>
      <c r="B21" s="27" t="s">
        <v>36</v>
      </c>
      <c r="C21" s="27" t="s">
        <v>60</v>
      </c>
      <c r="D21" s="19">
        <v>3657</v>
      </c>
      <c r="E21" s="15">
        <v>124.25475</v>
      </c>
      <c r="F21" s="19">
        <v>4381</v>
      </c>
      <c r="G21" s="15">
        <v>155.25908999999999</v>
      </c>
      <c r="H21" s="19">
        <v>4532</v>
      </c>
      <c r="I21" s="15">
        <v>177.409178</v>
      </c>
      <c r="J21" s="19">
        <v>4848</v>
      </c>
      <c r="K21" s="24">
        <v>249.655428</v>
      </c>
    </row>
    <row r="22" spans="1:11" customFormat="1" ht="13.35" customHeight="1">
      <c r="A22" s="26"/>
      <c r="B22" s="27" t="s">
        <v>37</v>
      </c>
      <c r="C22" s="27" t="s">
        <v>61</v>
      </c>
      <c r="D22" s="19">
        <v>1886</v>
      </c>
      <c r="E22" s="15">
        <v>77.470928000000001</v>
      </c>
      <c r="F22" s="19">
        <v>2341</v>
      </c>
      <c r="G22" s="15">
        <v>95.211792000000003</v>
      </c>
      <c r="H22" s="19">
        <v>2304</v>
      </c>
      <c r="I22" s="15">
        <v>106.01314000000001</v>
      </c>
      <c r="J22" s="19">
        <v>2578</v>
      </c>
      <c r="K22" s="24">
        <v>153.950435</v>
      </c>
    </row>
    <row r="23" spans="1:11" customFormat="1" ht="13.35" customHeight="1">
      <c r="A23" s="26"/>
      <c r="B23" s="27" t="s">
        <v>38</v>
      </c>
      <c r="C23" s="27" t="s">
        <v>62</v>
      </c>
      <c r="D23" s="19">
        <v>1027</v>
      </c>
      <c r="E23" s="15">
        <v>47.806719000000001</v>
      </c>
      <c r="F23" s="19">
        <v>1387</v>
      </c>
      <c r="G23" s="15">
        <v>66.516182999999998</v>
      </c>
      <c r="H23" s="19">
        <v>1389</v>
      </c>
      <c r="I23" s="15">
        <v>78.070475000000002</v>
      </c>
      <c r="J23" s="19">
        <v>1591</v>
      </c>
      <c r="K23" s="24">
        <v>105.13079</v>
      </c>
    </row>
    <row r="24" spans="1:11" customFormat="1" ht="13.35" customHeight="1">
      <c r="A24" s="26"/>
      <c r="B24" s="27" t="s">
        <v>39</v>
      </c>
      <c r="C24" s="27" t="s">
        <v>63</v>
      </c>
      <c r="D24" s="19">
        <v>1145</v>
      </c>
      <c r="E24" s="15">
        <v>60.053592000000002</v>
      </c>
      <c r="F24" s="19">
        <v>1528</v>
      </c>
      <c r="G24" s="15">
        <v>86.170850999999999</v>
      </c>
      <c r="H24" s="19">
        <v>1543</v>
      </c>
      <c r="I24" s="15">
        <v>95.477487999999994</v>
      </c>
      <c r="J24" s="19">
        <v>1868</v>
      </c>
      <c r="K24" s="24">
        <v>143.987021</v>
      </c>
    </row>
    <row r="25" spans="1:11" customFormat="1" ht="13.35" customHeight="1">
      <c r="A25" s="26"/>
      <c r="B25" s="27" t="s">
        <v>40</v>
      </c>
      <c r="C25" s="27" t="s">
        <v>64</v>
      </c>
      <c r="D25" s="19">
        <v>410</v>
      </c>
      <c r="E25" s="15">
        <v>25.096608</v>
      </c>
      <c r="F25" s="19">
        <v>562</v>
      </c>
      <c r="G25" s="15">
        <v>33.867420000000003</v>
      </c>
      <c r="H25" s="19">
        <v>569</v>
      </c>
      <c r="I25" s="15">
        <v>41.685563999999999</v>
      </c>
      <c r="J25" s="19">
        <v>696</v>
      </c>
      <c r="K25" s="24">
        <v>61.463230000000003</v>
      </c>
    </row>
    <row r="26" spans="1:11" customFormat="1" ht="13.35" customHeight="1">
      <c r="A26" s="26"/>
      <c r="B26" s="27" t="s">
        <v>41</v>
      </c>
      <c r="C26" s="27" t="s">
        <v>65</v>
      </c>
      <c r="D26" s="19">
        <v>439</v>
      </c>
      <c r="E26" s="15">
        <v>32.342374999999997</v>
      </c>
      <c r="F26" s="19">
        <v>560</v>
      </c>
      <c r="G26" s="15">
        <v>44.405115000000002</v>
      </c>
      <c r="H26" s="19">
        <v>504</v>
      </c>
      <c r="I26" s="15">
        <v>48.434795000000001</v>
      </c>
      <c r="J26" s="19">
        <v>637</v>
      </c>
      <c r="K26" s="24">
        <v>68.129863</v>
      </c>
    </row>
    <row r="27" spans="1:11" customFormat="1" ht="13.35" customHeight="1">
      <c r="A27" s="26"/>
      <c r="B27" s="27" t="s">
        <v>42</v>
      </c>
      <c r="C27" s="27" t="s">
        <v>66</v>
      </c>
      <c r="D27" s="19">
        <v>160</v>
      </c>
      <c r="E27" s="15">
        <v>12.934889999999999</v>
      </c>
      <c r="F27" s="19">
        <v>183</v>
      </c>
      <c r="G27" s="15">
        <v>16.432447</v>
      </c>
      <c r="H27" s="19">
        <v>158</v>
      </c>
      <c r="I27" s="15">
        <v>18.888119</v>
      </c>
      <c r="J27" s="19">
        <v>172</v>
      </c>
      <c r="K27" s="24">
        <v>23.433492000000001</v>
      </c>
    </row>
    <row r="28" spans="1:11" customFormat="1" ht="13.35" customHeight="1">
      <c r="A28" s="26"/>
      <c r="B28" s="27" t="s">
        <v>43</v>
      </c>
      <c r="C28" s="27" t="s">
        <v>67</v>
      </c>
      <c r="D28" s="19">
        <v>35</v>
      </c>
      <c r="E28" s="15">
        <v>4.3551770000000003</v>
      </c>
      <c r="F28" s="19">
        <v>35</v>
      </c>
      <c r="G28" s="15">
        <v>4.6360340000000004</v>
      </c>
      <c r="H28" s="19">
        <v>17</v>
      </c>
      <c r="I28" s="15">
        <v>2.1979519999999999</v>
      </c>
      <c r="J28" s="19">
        <v>26</v>
      </c>
      <c r="K28" s="24">
        <v>4.1131000000000002</v>
      </c>
    </row>
    <row r="29" spans="1:11" customFormat="1" ht="13.35" customHeight="1">
      <c r="A29" s="88"/>
      <c r="B29" s="75" t="s">
        <v>9</v>
      </c>
      <c r="C29" s="89"/>
      <c r="D29" s="20">
        <f t="shared" ref="D29:K29" si="0">SUM(D4:D28)</f>
        <v>27367</v>
      </c>
      <c r="E29" s="18">
        <f t="shared" si="0"/>
        <v>1140.6684389999998</v>
      </c>
      <c r="F29" s="20">
        <f t="shared" si="0"/>
        <v>30148</v>
      </c>
      <c r="G29" s="18">
        <f t="shared" si="0"/>
        <v>1111.385385</v>
      </c>
      <c r="H29" s="20">
        <f t="shared" si="0"/>
        <v>27699</v>
      </c>
      <c r="I29" s="18">
        <f t="shared" si="0"/>
        <v>1153.7860889999997</v>
      </c>
      <c r="J29" s="20">
        <f t="shared" si="0"/>
        <v>27944</v>
      </c>
      <c r="K29" s="25">
        <f t="shared" si="0"/>
        <v>1506.2085530000004</v>
      </c>
    </row>
    <row r="30" spans="1:11" s="1" customFormat="1" ht="13.35" customHeight="1"/>
    <row r="31" spans="1:11" customFormat="1" ht="13.35" customHeight="1">
      <c r="F31" s="560" t="s">
        <v>506</v>
      </c>
      <c r="H31" s="1"/>
    </row>
    <row r="32" spans="1:11" customFormat="1" ht="13.35" customHeight="1">
      <c r="H32" s="1"/>
    </row>
    <row r="33" spans="3:11" customFormat="1" ht="13.35" customHeight="1">
      <c r="C33" s="170" t="s">
        <v>257</v>
      </c>
      <c r="D33" s="171">
        <f>A2.7.1!D9-D29</f>
        <v>0</v>
      </c>
      <c r="E33" s="171">
        <f>A2.7.1!E9-E29</f>
        <v>0</v>
      </c>
      <c r="F33" s="171">
        <f>A2.7.1!F9-F29</f>
        <v>0</v>
      </c>
      <c r="G33" s="171">
        <f>A2.7.1!G9-G29</f>
        <v>0</v>
      </c>
      <c r="H33" s="171">
        <f>A2.7.1!H9-H29</f>
        <v>0</v>
      </c>
      <c r="I33" s="171">
        <f>A2.7.1!I9-I29</f>
        <v>0</v>
      </c>
      <c r="J33" s="171">
        <f>A2.7.1!J9-J29</f>
        <v>0</v>
      </c>
      <c r="K33" s="172">
        <f>A2.7.1!K9-K29</f>
        <v>0</v>
      </c>
    </row>
    <row r="34" spans="3:11" customFormat="1" ht="13.35" customHeight="1">
      <c r="H34" s="1"/>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sheetPr codeName="Sheet48"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500</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97</v>
      </c>
      <c r="F3" s="32" t="s">
        <v>18</v>
      </c>
      <c r="G3" s="134" t="s">
        <v>97</v>
      </c>
      <c r="H3" s="32" t="s">
        <v>18</v>
      </c>
      <c r="I3" s="134" t="s">
        <v>97</v>
      </c>
      <c r="J3" s="33" t="s">
        <v>18</v>
      </c>
      <c r="K3" s="86" t="s">
        <v>97</v>
      </c>
    </row>
    <row r="4" spans="1:11" ht="13.35" customHeight="1">
      <c r="A4" s="49"/>
      <c r="B4" s="16" t="s">
        <v>19</v>
      </c>
      <c r="C4" s="16" t="s">
        <v>44</v>
      </c>
      <c r="D4" s="62">
        <f>A2.7.5!D4/A2.7.5!D$29</f>
        <v>3.9171264661818979E-2</v>
      </c>
      <c r="E4" s="58">
        <f>A2.7.5!E4/A2.7.5!E$29</f>
        <v>0.24151231381619742</v>
      </c>
      <c r="F4" s="62">
        <f>A2.7.5!F4/A2.7.5!F$29</f>
        <v>3.5325726416346029E-2</v>
      </c>
      <c r="G4" s="58">
        <f>A2.7.5!G4/A2.7.5!G$29</f>
        <v>6.8277222306643875E-2</v>
      </c>
      <c r="H4" s="62">
        <f>A2.7.5!H4/A2.7.5!H$29</f>
        <v>2.7257301707642876E-2</v>
      </c>
      <c r="I4" s="58">
        <f>A2.7.5!I4/A2.7.5!I$29</f>
        <v>5.4098138810200209E-2</v>
      </c>
      <c r="J4" s="62">
        <f>A2.7.5!J4/A2.7.5!J$29</f>
        <v>2.4656455768680217E-2</v>
      </c>
      <c r="K4" s="59">
        <f>A2.7.5!K4/A2.7.5!K$29</f>
        <v>4.4926075386586904E-2</v>
      </c>
    </row>
    <row r="5" spans="1:11" ht="13.35" customHeight="1">
      <c r="A5" s="49"/>
      <c r="B5" s="16" t="s">
        <v>20</v>
      </c>
      <c r="C5" s="50" t="s">
        <v>137</v>
      </c>
      <c r="D5" s="62">
        <f>A2.7.5!D5/A2.7.5!D$29</f>
        <v>1.461614353052947E-4</v>
      </c>
      <c r="E5" s="58">
        <f>A2.7.5!E5/A2.7.5!E$29</f>
        <v>1.9276591907177335E-4</v>
      </c>
      <c r="F5" s="62">
        <f>A2.7.5!F5/A2.7.5!F$29</f>
        <v>2.3218787315908187E-4</v>
      </c>
      <c r="G5" s="58">
        <f>A2.7.5!G5/A2.7.5!G$29</f>
        <v>1.9488829250710366E-4</v>
      </c>
      <c r="H5" s="62">
        <f>A2.7.5!H5/A2.7.5!H$29</f>
        <v>1.4440954547095564E-4</v>
      </c>
      <c r="I5" s="58">
        <f>A2.7.5!I5/A2.7.5!I$29</f>
        <v>1.0412502035288451E-4</v>
      </c>
      <c r="J5" s="62">
        <f>A2.7.5!J5/A2.7.5!J$29</f>
        <v>1.0735757228743201E-4</v>
      </c>
      <c r="K5" s="59">
        <f>A2.7.5!K5/A2.7.5!K$29</f>
        <v>9.4258527291738164E-5</v>
      </c>
    </row>
    <row r="6" spans="1:11" ht="13.35" customHeight="1">
      <c r="A6" s="49"/>
      <c r="B6" s="16" t="s">
        <v>21</v>
      </c>
      <c r="C6" s="16" t="s">
        <v>45</v>
      </c>
      <c r="D6" s="62">
        <f>A2.7.5!D6/A2.7.5!D$29</f>
        <v>1.9951035919172726E-2</v>
      </c>
      <c r="E6" s="58">
        <f>A2.7.5!E6/A2.7.5!E$29</f>
        <v>1.9464146846619297E-2</v>
      </c>
      <c r="F6" s="62">
        <f>A2.7.5!F6/A2.7.5!F$29</f>
        <v>1.8707708637388881E-2</v>
      </c>
      <c r="G6" s="58">
        <f>A2.7.5!G6/A2.7.5!G$29</f>
        <v>2.2918132939097446E-2</v>
      </c>
      <c r="H6" s="62">
        <f>A2.7.5!H6/A2.7.5!H$29</f>
        <v>1.4404852160727824E-2</v>
      </c>
      <c r="I6" s="58">
        <f>A2.7.5!I6/A2.7.5!I$29</f>
        <v>1.6841942527528606E-2</v>
      </c>
      <c r="J6" s="62">
        <f>A2.7.5!J6/A2.7.5!J$29</f>
        <v>1.1701975379330088E-2</v>
      </c>
      <c r="K6" s="59">
        <f>A2.7.5!K6/A2.7.5!K$29</f>
        <v>1.1553968383288017E-2</v>
      </c>
    </row>
    <row r="7" spans="1:11" ht="13.35" customHeight="1">
      <c r="A7" s="49"/>
      <c r="B7" s="16" t="s">
        <v>22</v>
      </c>
      <c r="C7" s="16" t="s">
        <v>46</v>
      </c>
      <c r="D7" s="62">
        <f>A2.7.5!D7/A2.7.5!D$29</f>
        <v>1.6077757883582417E-2</v>
      </c>
      <c r="E7" s="58">
        <f>A2.7.5!E7/A2.7.5!E$29</f>
        <v>1.4348076479040727E-2</v>
      </c>
      <c r="F7" s="62">
        <f>A2.7.5!F7/A2.7.5!F$29</f>
        <v>1.3500066339392332E-2</v>
      </c>
      <c r="G7" s="58">
        <f>A2.7.5!G7/A2.7.5!G$29</f>
        <v>1.4283552954945506E-2</v>
      </c>
      <c r="H7" s="62">
        <f>A2.7.5!H7/A2.7.5!H$29</f>
        <v>1.1119535001263583E-2</v>
      </c>
      <c r="I7" s="58">
        <f>A2.7.5!I7/A2.7.5!I$29</f>
        <v>1.1918701508976162E-2</v>
      </c>
      <c r="J7" s="62">
        <f>A2.7.5!J7/A2.7.5!J$29</f>
        <v>9.590609791010592E-3</v>
      </c>
      <c r="K7" s="59">
        <f>A2.7.5!K7/A2.7.5!K$29</f>
        <v>8.983259305658714E-3</v>
      </c>
    </row>
    <row r="8" spans="1:11" ht="13.35" customHeight="1">
      <c r="A8" s="49"/>
      <c r="B8" s="16" t="s">
        <v>23</v>
      </c>
      <c r="C8" s="16" t="s">
        <v>47</v>
      </c>
      <c r="D8" s="62">
        <f>A2.7.5!D8/A2.7.5!D$29</f>
        <v>2.3056966419410237E-2</v>
      </c>
      <c r="E8" s="58">
        <f>A2.7.5!E8/A2.7.5!E$29</f>
        <v>1.7950951652481027E-2</v>
      </c>
      <c r="F8" s="62">
        <f>A2.7.5!F8/A2.7.5!F$29</f>
        <v>1.966962982619079E-2</v>
      </c>
      <c r="G8" s="58">
        <f>A2.7.5!G8/A2.7.5!G$29</f>
        <v>1.8609812832836557E-2</v>
      </c>
      <c r="H8" s="62">
        <f>A2.7.5!H8/A2.7.5!H$29</f>
        <v>1.5415718979024514E-2</v>
      </c>
      <c r="I8" s="58">
        <f>A2.7.5!I8/A2.7.5!I$29</f>
        <v>1.4424219670063992E-2</v>
      </c>
      <c r="J8" s="62">
        <f>A2.7.5!J8/A2.7.5!J$29</f>
        <v>1.3026052104208416E-2</v>
      </c>
      <c r="K8" s="59">
        <f>A2.7.5!K8/A2.7.5!K$29</f>
        <v>1.0452880491643309E-2</v>
      </c>
    </row>
    <row r="9" spans="1:11" ht="13.35" customHeight="1">
      <c r="A9" s="49"/>
      <c r="B9" s="16" t="s">
        <v>24</v>
      </c>
      <c r="C9" s="16" t="s">
        <v>48</v>
      </c>
      <c r="D9" s="62">
        <f>A2.7.5!D9/A2.7.5!D$29</f>
        <v>2.9561150290495854E-2</v>
      </c>
      <c r="E9" s="58">
        <f>A2.7.5!E9/A2.7.5!E$29</f>
        <v>2.0097121316074218E-2</v>
      </c>
      <c r="F9" s="62">
        <f>A2.7.5!F9/A2.7.5!F$29</f>
        <v>2.7895714475255406E-2</v>
      </c>
      <c r="G9" s="58">
        <f>A2.7.5!G9/A2.7.5!G$29</f>
        <v>2.4285399434148577E-2</v>
      </c>
      <c r="H9" s="62">
        <f>A2.7.5!H9/A2.7.5!H$29</f>
        <v>2.1372612729701434E-2</v>
      </c>
      <c r="I9" s="58">
        <f>A2.7.5!I9/A2.7.5!I$29</f>
        <v>1.8120540019788713E-2</v>
      </c>
      <c r="J9" s="62">
        <f>A2.7.5!J9/A2.7.5!J$29</f>
        <v>1.7678213569997138E-2</v>
      </c>
      <c r="K9" s="59">
        <f>A2.7.5!K9/A2.7.5!K$29</f>
        <v>1.3699893656094511E-2</v>
      </c>
    </row>
    <row r="10" spans="1:11" s="51" customFormat="1" ht="13.35" customHeight="1">
      <c r="A10" s="49"/>
      <c r="B10" s="16" t="s">
        <v>25</v>
      </c>
      <c r="C10" s="16" t="s">
        <v>49</v>
      </c>
      <c r="D10" s="62">
        <f>A2.7.5!D10/A2.7.5!D$29</f>
        <v>3.4384477655570581E-2</v>
      </c>
      <c r="E10" s="58">
        <f>A2.7.5!E10/A2.7.5!E$29</f>
        <v>2.2396921074100132E-2</v>
      </c>
      <c r="F10" s="62">
        <f>A2.7.5!F10/A2.7.5!F$29</f>
        <v>3.0781478041661137E-2</v>
      </c>
      <c r="G10" s="58">
        <f>A2.7.5!G10/A2.7.5!G$29</f>
        <v>2.4806003724801545E-2</v>
      </c>
      <c r="H10" s="62">
        <f>A2.7.5!H10/A2.7.5!H$29</f>
        <v>2.9062421026029822E-2</v>
      </c>
      <c r="I10" s="58">
        <f>A2.7.5!I10/A2.7.5!I$29</f>
        <v>2.2655086804396377E-2</v>
      </c>
      <c r="J10" s="62">
        <f>A2.7.5!J10/A2.7.5!J$29</f>
        <v>2.4799599198396794E-2</v>
      </c>
      <c r="K10" s="59">
        <f>A2.7.5!K10/A2.7.5!K$29</f>
        <v>1.8260610687157605E-2</v>
      </c>
    </row>
    <row r="11" spans="1:11" s="1" customFormat="1" ht="13.35" customHeight="1">
      <c r="A11" s="26"/>
      <c r="B11" s="16" t="s">
        <v>26</v>
      </c>
      <c r="C11" s="16" t="s">
        <v>50</v>
      </c>
      <c r="D11" s="62">
        <f>A2.7.5!D11/A2.7.5!D$29</f>
        <v>3.9061643585340006E-2</v>
      </c>
      <c r="E11" s="58">
        <f>A2.7.5!E11/A2.7.5!E$29</f>
        <v>2.4946015886041364E-2</v>
      </c>
      <c r="F11" s="62">
        <f>A2.7.5!F11/A2.7.5!F$29</f>
        <v>3.608862942815444E-2</v>
      </c>
      <c r="G11" s="58">
        <f>A2.7.5!G11/A2.7.5!G$29</f>
        <v>2.7942503490812055E-2</v>
      </c>
      <c r="H11" s="62">
        <f>A2.7.5!H11/A2.7.5!H$29</f>
        <v>3.2058919094552149E-2</v>
      </c>
      <c r="I11" s="58">
        <f>A2.7.5!I11/A2.7.5!I$29</f>
        <v>2.4470294163860394E-2</v>
      </c>
      <c r="J11" s="62">
        <f>A2.7.5!J11/A2.7.5!J$29</f>
        <v>2.8628685943315201E-2</v>
      </c>
      <c r="K11" s="59">
        <f>A2.7.5!K11/A2.7.5!K$29</f>
        <v>1.9487116137761031E-2</v>
      </c>
    </row>
    <row r="12" spans="1:11" s="1" customFormat="1" ht="13.35" customHeight="1">
      <c r="A12" s="26"/>
      <c r="B12" s="16" t="s">
        <v>27</v>
      </c>
      <c r="C12" s="16" t="s">
        <v>51</v>
      </c>
      <c r="D12" s="62">
        <f>A2.7.5!D12/A2.7.5!D$29</f>
        <v>4.2532977673840761E-2</v>
      </c>
      <c r="E12" s="58">
        <f>A2.7.5!E12/A2.7.5!E$29</f>
        <v>2.6921675878857208E-2</v>
      </c>
      <c r="F12" s="62">
        <f>A2.7.5!F12/A2.7.5!F$29</f>
        <v>3.7780283932599176E-2</v>
      </c>
      <c r="G12" s="58">
        <f>A2.7.5!G12/A2.7.5!G$29</f>
        <v>2.8468252711457059E-2</v>
      </c>
      <c r="H12" s="62">
        <f>A2.7.5!H12/A2.7.5!H$29</f>
        <v>3.4188959890248748E-2</v>
      </c>
      <c r="I12" s="58">
        <f>A2.7.5!I12/A2.7.5!I$29</f>
        <v>2.3644271030901644E-2</v>
      </c>
      <c r="J12" s="62">
        <f>A2.7.5!J12/A2.7.5!J$29</f>
        <v>2.9415974806756371E-2</v>
      </c>
      <c r="K12" s="59">
        <f>A2.7.5!K12/A2.7.5!K$29</f>
        <v>2.0376123836816369E-2</v>
      </c>
    </row>
    <row r="13" spans="1:11" s="1" customFormat="1" ht="13.35" customHeight="1">
      <c r="A13" s="26"/>
      <c r="B13" s="27" t="s">
        <v>28</v>
      </c>
      <c r="C13" s="27" t="s">
        <v>52</v>
      </c>
      <c r="D13" s="62">
        <f>A2.7.5!D13/A2.7.5!D$29</f>
        <v>4.3884970950414735E-2</v>
      </c>
      <c r="E13" s="58">
        <f>A2.7.5!E13/A2.7.5!E$29</f>
        <v>2.6412454285499879E-2</v>
      </c>
      <c r="F13" s="62">
        <f>A2.7.5!F13/A2.7.5!F$29</f>
        <v>3.8974392994560167E-2</v>
      </c>
      <c r="G13" s="58">
        <f>A2.7.5!G13/A2.7.5!G$29</f>
        <v>2.7920848536261793E-2</v>
      </c>
      <c r="H13" s="62">
        <f>A2.7.5!H13/A2.7.5!H$29</f>
        <v>3.7293765117874293E-2</v>
      </c>
      <c r="I13" s="58">
        <f>A2.7.5!I13/A2.7.5!I$29</f>
        <v>2.7243849877964691E-2</v>
      </c>
      <c r="J13" s="62">
        <f>A2.7.5!J13/A2.7.5!J$29</f>
        <v>3.2314629258517032E-2</v>
      </c>
      <c r="K13" s="59">
        <f>A2.7.5!K13/A2.7.5!K$29</f>
        <v>2.2231240111673958E-2</v>
      </c>
    </row>
    <row r="14" spans="1:11" s="1" customFormat="1" ht="13.35" customHeight="1">
      <c r="A14" s="26"/>
      <c r="B14" s="27" t="s">
        <v>29</v>
      </c>
      <c r="C14" s="27" t="s">
        <v>53</v>
      </c>
      <c r="D14" s="62">
        <f>A2.7.5!D14/A2.7.5!D$29</f>
        <v>4.6040852121167833E-2</v>
      </c>
      <c r="E14" s="58">
        <f>A2.7.5!E14/A2.7.5!E$29</f>
        <v>2.7179839416947349E-2</v>
      </c>
      <c r="F14" s="62">
        <f>A2.7.5!F14/A2.7.5!F$29</f>
        <v>4.0400689929680246E-2</v>
      </c>
      <c r="G14" s="58">
        <f>A2.7.5!G14/A2.7.5!G$29</f>
        <v>3.1470073722446874E-2</v>
      </c>
      <c r="H14" s="62">
        <f>A2.7.5!H14/A2.7.5!H$29</f>
        <v>3.7113253186035595E-2</v>
      </c>
      <c r="I14" s="58">
        <f>A2.7.5!I14/A2.7.5!I$29</f>
        <v>2.7741760197283857E-2</v>
      </c>
      <c r="J14" s="62">
        <f>A2.7.5!J14/A2.7.5!J$29</f>
        <v>3.4998568565702833E-2</v>
      </c>
      <c r="K14" s="59">
        <f>A2.7.5!K14/A2.7.5!K$29</f>
        <v>2.6945682866534613E-2</v>
      </c>
    </row>
    <row r="15" spans="1:11" customFormat="1" ht="13.35" customHeight="1">
      <c r="A15" s="26"/>
      <c r="B15" s="27" t="s">
        <v>30</v>
      </c>
      <c r="C15" s="27" t="s">
        <v>54</v>
      </c>
      <c r="D15" s="62">
        <f>A2.7.5!D15/A2.7.5!D$29</f>
        <v>4.8891000109621073E-2</v>
      </c>
      <c r="E15" s="58">
        <f>A2.7.5!E15/A2.7.5!E$29</f>
        <v>2.8682260226891406E-2</v>
      </c>
      <c r="F15" s="62">
        <f>A2.7.5!F15/A2.7.5!F$29</f>
        <v>4.2755738357436644E-2</v>
      </c>
      <c r="G15" s="58">
        <f>A2.7.5!G15/A2.7.5!G$29</f>
        <v>3.1231072019180819E-2</v>
      </c>
      <c r="H15" s="62">
        <f>A2.7.5!H15/A2.7.5!H$29</f>
        <v>3.9387703527203145E-2</v>
      </c>
      <c r="I15" s="58">
        <f>A2.7.5!I15/A2.7.5!I$29</f>
        <v>3.1276678011672589E-2</v>
      </c>
      <c r="J15" s="62">
        <f>A2.7.5!J15/A2.7.5!J$29</f>
        <v>3.4998568565702833E-2</v>
      </c>
      <c r="K15" s="59">
        <f>A2.7.5!K15/A2.7.5!K$29</f>
        <v>2.6949317157409603E-2</v>
      </c>
    </row>
    <row r="16" spans="1:11" customFormat="1" ht="13.35" customHeight="1">
      <c r="A16" s="26"/>
      <c r="B16" s="27" t="s">
        <v>31</v>
      </c>
      <c r="C16" s="27" t="s">
        <v>55</v>
      </c>
      <c r="D16" s="62">
        <f>A2.7.5!D16/A2.7.5!D$29</f>
        <v>4.3884970950414735E-2</v>
      </c>
      <c r="E16" s="58">
        <f>A2.7.5!E16/A2.7.5!E$29</f>
        <v>2.7312043478043495E-2</v>
      </c>
      <c r="F16" s="62">
        <f>A2.7.5!F16/A2.7.5!F$29</f>
        <v>3.9969483879527666E-2</v>
      </c>
      <c r="G16" s="58">
        <f>A2.7.5!G16/A2.7.5!G$29</f>
        <v>2.9284931617127568E-2</v>
      </c>
      <c r="H16" s="62">
        <f>A2.7.5!H16/A2.7.5!H$29</f>
        <v>3.8376836708906459E-2</v>
      </c>
      <c r="I16" s="58">
        <f>A2.7.5!I16/A2.7.5!I$29</f>
        <v>2.9180165475196682E-2</v>
      </c>
      <c r="J16" s="62">
        <f>A2.7.5!J16/A2.7.5!J$29</f>
        <v>3.3495562553678783E-2</v>
      </c>
      <c r="K16" s="59">
        <f>A2.7.5!K16/A2.7.5!K$29</f>
        <v>2.5471106855412994E-2</v>
      </c>
    </row>
    <row r="17" spans="1:11" customFormat="1" ht="13.35" customHeight="1">
      <c r="A17" s="26"/>
      <c r="B17" s="27" t="s">
        <v>32</v>
      </c>
      <c r="C17" s="27" t="s">
        <v>56</v>
      </c>
      <c r="D17" s="62">
        <f>A2.7.5!D17/A2.7.5!D$29</f>
        <v>4.4944641356378122E-2</v>
      </c>
      <c r="E17" s="58">
        <f>A2.7.5!E17/A2.7.5!E$29</f>
        <v>2.6590959268226064E-2</v>
      </c>
      <c r="F17" s="62">
        <f>A2.7.5!F17/A2.7.5!F$29</f>
        <v>4.0865065675998409E-2</v>
      </c>
      <c r="G17" s="58">
        <f>A2.7.5!G17/A2.7.5!G$29</f>
        <v>3.0305750331600767E-2</v>
      </c>
      <c r="H17" s="62">
        <f>A2.7.5!H17/A2.7.5!H$29</f>
        <v>3.8232427163435501E-2</v>
      </c>
      <c r="I17" s="58">
        <f>A2.7.5!I17/A2.7.5!I$29</f>
        <v>2.951946667126094E-2</v>
      </c>
      <c r="J17" s="62">
        <f>A2.7.5!J17/A2.7.5!J$29</f>
        <v>3.263670197537933E-2</v>
      </c>
      <c r="K17" s="59">
        <f>A2.7.5!K17/A2.7.5!K$29</f>
        <v>2.5543675159305772E-2</v>
      </c>
    </row>
    <row r="18" spans="1:11" customFormat="1" ht="13.35" customHeight="1">
      <c r="A18" s="26"/>
      <c r="B18" s="27" t="s">
        <v>33</v>
      </c>
      <c r="C18" s="27" t="s">
        <v>57</v>
      </c>
      <c r="D18" s="62">
        <f>A2.7.5!D18/A2.7.5!D$29</f>
        <v>4.1802170497314287E-2</v>
      </c>
      <c r="E18" s="58">
        <f>A2.7.5!E18/A2.7.5!E$29</f>
        <v>2.4799398346463764E-2</v>
      </c>
      <c r="F18" s="62">
        <f>A2.7.5!F18/A2.7.5!F$29</f>
        <v>4.1296271726150989E-2</v>
      </c>
      <c r="G18" s="58">
        <f>A2.7.5!G18/A2.7.5!G$29</f>
        <v>3.1084907599356271E-2</v>
      </c>
      <c r="H18" s="62">
        <f>A2.7.5!H18/A2.7.5!H$29</f>
        <v>3.7835300913390373E-2</v>
      </c>
      <c r="I18" s="58">
        <f>A2.7.5!I18/A2.7.5!I$29</f>
        <v>2.8073559136142442E-2</v>
      </c>
      <c r="J18" s="62">
        <f>A2.7.5!J18/A2.7.5!J$29</f>
        <v>3.5213283710277696E-2</v>
      </c>
      <c r="K18" s="59">
        <f>A2.7.5!K18/A2.7.5!K$29</f>
        <v>2.6576008959896001E-2</v>
      </c>
    </row>
    <row r="19" spans="1:11" customFormat="1" ht="13.35" customHeight="1">
      <c r="A19" s="26"/>
      <c r="B19" s="27" t="s">
        <v>34</v>
      </c>
      <c r="C19" s="27" t="s">
        <v>58</v>
      </c>
      <c r="D19" s="62">
        <f>A2.7.5!D19/A2.7.5!D$29</f>
        <v>4.0304015785435014E-2</v>
      </c>
      <c r="E19" s="58">
        <f>A2.7.5!E19/A2.7.5!E$29</f>
        <v>2.5818800619940713E-2</v>
      </c>
      <c r="F19" s="62">
        <f>A2.7.5!F19/A2.7.5!F$29</f>
        <v>3.8443677855910838E-2</v>
      </c>
      <c r="G19" s="58">
        <f>A2.7.5!G19/A2.7.5!G$29</f>
        <v>2.8554117616005899E-2</v>
      </c>
      <c r="H19" s="62">
        <f>A2.7.5!H19/A2.7.5!H$29</f>
        <v>3.6680024549622728E-2</v>
      </c>
      <c r="I19" s="58">
        <f>A2.7.5!I19/A2.7.5!I$29</f>
        <v>2.7831360861553956E-2</v>
      </c>
      <c r="J19" s="62">
        <f>A2.7.5!J19/A2.7.5!J$29</f>
        <v>3.7253077583738907E-2</v>
      </c>
      <c r="K19" s="59">
        <f>A2.7.5!K19/A2.7.5!K$29</f>
        <v>2.9920287539357764E-2</v>
      </c>
    </row>
    <row r="20" spans="1:11" customFormat="1" ht="13.35" customHeight="1">
      <c r="A20" s="26"/>
      <c r="B20" s="27" t="s">
        <v>35</v>
      </c>
      <c r="C20" s="87" t="s">
        <v>59</v>
      </c>
      <c r="D20" s="62">
        <f>A2.7.5!D20/A2.7.5!D$29</f>
        <v>0.1262469397449483</v>
      </c>
      <c r="E20" s="58">
        <f>A2.7.5!E20/A2.7.5!E$29</f>
        <v>8.8453353797053741E-2</v>
      </c>
      <c r="F20" s="62">
        <f>A2.7.5!F20/A2.7.5!F$29</f>
        <v>0.13320949980098182</v>
      </c>
      <c r="G20" s="58">
        <f>A2.7.5!G20/A2.7.5!G$29</f>
        <v>0.10822509961294838</v>
      </c>
      <c r="H20" s="62">
        <f>A2.7.5!H20/A2.7.5!H$29</f>
        <v>0.1523520704718582</v>
      </c>
      <c r="I20" s="58">
        <f>A2.7.5!I20/A2.7.5!I$29</f>
        <v>0.12041038917396761</v>
      </c>
      <c r="J20" s="62">
        <f>A2.7.5!J20/A2.7.5!J$29</f>
        <v>0.15516747781276841</v>
      </c>
      <c r="K20" s="59">
        <f>A2.7.5!K20/A2.7.5!K$29</f>
        <v>0.13084507959237432</v>
      </c>
    </row>
    <row r="21" spans="1:11" customFormat="1" ht="13.35" customHeight="1">
      <c r="A21" s="26"/>
      <c r="B21" s="27" t="s">
        <v>36</v>
      </c>
      <c r="C21" s="27" t="s">
        <v>60</v>
      </c>
      <c r="D21" s="62">
        <f>A2.7.5!D21/A2.7.5!D$29</f>
        <v>0.13362809222786567</v>
      </c>
      <c r="E21" s="58">
        <f>A2.7.5!E21/A2.7.5!E$29</f>
        <v>0.10893152273848442</v>
      </c>
      <c r="F21" s="62">
        <f>A2.7.5!F21/A2.7.5!F$29</f>
        <v>0.14531643890141965</v>
      </c>
      <c r="G21" s="58">
        <f>A2.7.5!G21/A2.7.5!G$29</f>
        <v>0.13969869686562414</v>
      </c>
      <c r="H21" s="62">
        <f>A2.7.5!H21/A2.7.5!H$29</f>
        <v>0.16361601501859274</v>
      </c>
      <c r="I21" s="58">
        <f>A2.7.5!I21/A2.7.5!I$29</f>
        <v>0.15376262523130493</v>
      </c>
      <c r="J21" s="62">
        <f>A2.7.5!J21/A2.7.5!J$29</f>
        <v>0.17348983681649013</v>
      </c>
      <c r="K21" s="59">
        <f>A2.7.5!K21/A2.7.5!K$29</f>
        <v>0.16575090315530822</v>
      </c>
    </row>
    <row r="22" spans="1:11" customFormat="1" ht="13.35" customHeight="1">
      <c r="A22" s="26"/>
      <c r="B22" s="27" t="s">
        <v>37</v>
      </c>
      <c r="C22" s="27" t="s">
        <v>61</v>
      </c>
      <c r="D22" s="62">
        <f>A2.7.5!D22/A2.7.5!D$29</f>
        <v>6.8915116746446445E-2</v>
      </c>
      <c r="E22" s="58">
        <f>A2.7.5!E22/A2.7.5!E$29</f>
        <v>6.7917131176099821E-2</v>
      </c>
      <c r="F22" s="62">
        <f>A2.7.5!F22/A2.7.5!F$29</f>
        <v>7.7650258723630086E-2</v>
      </c>
      <c r="G22" s="58">
        <f>A2.7.5!G22/A2.7.5!G$29</f>
        <v>8.5669465592261684E-2</v>
      </c>
      <c r="H22" s="62">
        <f>A2.7.5!H22/A2.7.5!H$29</f>
        <v>8.3179898191270446E-2</v>
      </c>
      <c r="I22" s="58">
        <f>A2.7.5!I22/A2.7.5!I$29</f>
        <v>9.1882837738044551E-2</v>
      </c>
      <c r="J22" s="62">
        <f>A2.7.5!J22/A2.7.5!J$29</f>
        <v>9.2255940452333235E-2</v>
      </c>
      <c r="K22" s="59">
        <f>A2.7.5!K22/A2.7.5!K$29</f>
        <v>0.10221057017195145</v>
      </c>
    </row>
    <row r="23" spans="1:11" customFormat="1" ht="13.35" customHeight="1">
      <c r="A23" s="26"/>
      <c r="B23" s="27" t="s">
        <v>38</v>
      </c>
      <c r="C23" s="27" t="s">
        <v>62</v>
      </c>
      <c r="D23" s="62">
        <f>A2.7.5!D23/A2.7.5!D$29</f>
        <v>3.7526948514634416E-2</v>
      </c>
      <c r="E23" s="58">
        <f>A2.7.5!E23/A2.7.5!E$29</f>
        <v>4.1911143821872686E-2</v>
      </c>
      <c r="F23" s="62">
        <f>A2.7.5!F23/A2.7.5!F$29</f>
        <v>4.6006368581663792E-2</v>
      </c>
      <c r="G23" s="58">
        <f>A2.7.5!G23/A2.7.5!G$29</f>
        <v>5.9849790988568734E-2</v>
      </c>
      <c r="H23" s="62">
        <f>A2.7.5!H23/A2.7.5!H$29</f>
        <v>5.0146214664789343E-2</v>
      </c>
      <c r="I23" s="58">
        <f>A2.7.5!I23/A2.7.5!I$29</f>
        <v>6.7664600695320071E-2</v>
      </c>
      <c r="J23" s="62">
        <f>A2.7.5!J23/A2.7.5!J$29</f>
        <v>5.6935299169768111E-2</v>
      </c>
      <c r="K23" s="59">
        <f>A2.7.5!K23/A2.7.5!K$29</f>
        <v>6.9798295721137077E-2</v>
      </c>
    </row>
    <row r="24" spans="1:11" customFormat="1" ht="13.35" customHeight="1">
      <c r="A24" s="26"/>
      <c r="B24" s="27" t="s">
        <v>39</v>
      </c>
      <c r="C24" s="27" t="s">
        <v>63</v>
      </c>
      <c r="D24" s="62">
        <f>A2.7.5!D24/A2.7.5!D$29</f>
        <v>4.1838710856140604E-2</v>
      </c>
      <c r="E24" s="58">
        <f>A2.7.5!E24/A2.7.5!E$29</f>
        <v>5.2647719483365149E-2</v>
      </c>
      <c r="F24" s="62">
        <f>A2.7.5!F24/A2.7.5!F$29</f>
        <v>5.0683295741011013E-2</v>
      </c>
      <c r="G24" s="58">
        <f>A2.7.5!G24/A2.7.5!G$29</f>
        <v>7.7534626748758259E-2</v>
      </c>
      <c r="H24" s="62">
        <f>A2.7.5!H24/A2.7.5!H$29</f>
        <v>5.5705982165421136E-2</v>
      </c>
      <c r="I24" s="58">
        <f>A2.7.5!I24/A2.7.5!I$29</f>
        <v>8.2751463993426616E-2</v>
      </c>
      <c r="J24" s="62">
        <f>A2.7.5!J24/A2.7.5!J$29</f>
        <v>6.6847981677641E-2</v>
      </c>
      <c r="K24" s="59">
        <f>A2.7.5!K24/A2.7.5!K$29</f>
        <v>9.5595673463155506E-2</v>
      </c>
    </row>
    <row r="25" spans="1:11" customFormat="1" ht="13.35" customHeight="1">
      <c r="A25" s="26"/>
      <c r="B25" s="27" t="s">
        <v>40</v>
      </c>
      <c r="C25" s="27" t="s">
        <v>64</v>
      </c>
      <c r="D25" s="62">
        <f>A2.7.5!D25/A2.7.5!D$29</f>
        <v>1.4981547118792706E-2</v>
      </c>
      <c r="E25" s="58">
        <f>A2.7.5!E25/A2.7.5!E$29</f>
        <v>2.2001667743171426E-2</v>
      </c>
      <c r="F25" s="62">
        <f>A2.7.5!F25/A2.7.5!F$29</f>
        <v>1.8641369245057715E-2</v>
      </c>
      <c r="G25" s="58">
        <f>A2.7.5!G25/A2.7.5!G$29</f>
        <v>3.0473155808144806E-2</v>
      </c>
      <c r="H25" s="62">
        <f>A2.7.5!H25/A2.7.5!H$29</f>
        <v>2.0542257843243438E-2</v>
      </c>
      <c r="I25" s="58">
        <f>A2.7.5!I25/A2.7.5!I$29</f>
        <v>3.6129369557687578E-2</v>
      </c>
      <c r="J25" s="62">
        <f>A2.7.5!J25/A2.7.5!J$29</f>
        <v>2.4906956770684226E-2</v>
      </c>
      <c r="K25" s="59">
        <f>A2.7.5!K25/A2.7.5!K$29</f>
        <v>4.0806586762225074E-2</v>
      </c>
    </row>
    <row r="26" spans="1:11" customFormat="1" ht="13.35" customHeight="1">
      <c r="A26" s="26"/>
      <c r="B26" s="27" t="s">
        <v>41</v>
      </c>
      <c r="C26" s="27" t="s">
        <v>65</v>
      </c>
      <c r="D26" s="62">
        <f>A2.7.5!D26/A2.7.5!D$29</f>
        <v>1.6041217524756093E-2</v>
      </c>
      <c r="E26" s="58">
        <f>A2.7.5!E26/A2.7.5!E$29</f>
        <v>2.8353879088961101E-2</v>
      </c>
      <c r="F26" s="62">
        <f>A2.7.5!F26/A2.7.5!F$29</f>
        <v>1.8575029852726549E-2</v>
      </c>
      <c r="G26" s="58">
        <f>A2.7.5!G26/A2.7.5!G$29</f>
        <v>3.9954740812072134E-2</v>
      </c>
      <c r="H26" s="62">
        <f>A2.7.5!H26/A2.7.5!H$29</f>
        <v>1.8195602729340409E-2</v>
      </c>
      <c r="I26" s="58">
        <f>A2.7.5!I26/A2.7.5!I$29</f>
        <v>4.1979007600948824E-2</v>
      </c>
      <c r="J26" s="62">
        <f>A2.7.5!J26/A2.7.5!J$29</f>
        <v>2.2795591182364728E-2</v>
      </c>
      <c r="K26" s="59">
        <f>A2.7.5!K26/A2.7.5!K$29</f>
        <v>4.52326889688031E-2</v>
      </c>
    </row>
    <row r="27" spans="1:11" customFormat="1" ht="13.35" customHeight="1">
      <c r="A27" s="26"/>
      <c r="B27" s="27" t="s">
        <v>42</v>
      </c>
      <c r="C27" s="27" t="s">
        <v>66</v>
      </c>
      <c r="D27" s="62">
        <f>A2.7.5!D27/A2.7.5!D$29</f>
        <v>5.8464574122117875E-3</v>
      </c>
      <c r="E27" s="58">
        <f>A2.7.5!E27/A2.7.5!E$29</f>
        <v>1.1339745676964419E-2</v>
      </c>
      <c r="F27" s="62">
        <f>A2.7.5!F27/A2.7.5!F$29</f>
        <v>6.0700543983017111E-3</v>
      </c>
      <c r="G27" s="58">
        <f>A2.7.5!G27/A2.7.5!G$29</f>
        <v>1.4785552538105403E-2</v>
      </c>
      <c r="H27" s="62">
        <f>A2.7.5!H27/A2.7.5!H$29</f>
        <v>5.704177046102747E-3</v>
      </c>
      <c r="I27" s="58">
        <f>A2.7.5!I27/A2.7.5!I$29</f>
        <v>1.6370555322235303E-2</v>
      </c>
      <c r="J27" s="62">
        <f>A2.7.5!J27/A2.7.5!J$29</f>
        <v>6.1551674778127681E-3</v>
      </c>
      <c r="K27" s="59">
        <f>A2.7.5!K27/A2.7.5!K$29</f>
        <v>1.5557933164916767E-2</v>
      </c>
    </row>
    <row r="28" spans="1:11" customFormat="1" ht="13.35" customHeight="1">
      <c r="A28" s="26"/>
      <c r="B28" s="27" t="s">
        <v>43</v>
      </c>
      <c r="C28" s="27" t="s">
        <v>67</v>
      </c>
      <c r="D28" s="62">
        <f>A2.7.5!D28/A2.7.5!D$29</f>
        <v>1.2789125589213286E-3</v>
      </c>
      <c r="E28" s="58">
        <f>A2.7.5!E28/A2.7.5!E$29</f>
        <v>3.8180919635315701E-3</v>
      </c>
      <c r="F28" s="62">
        <f>A2.7.5!F28/A2.7.5!F$29</f>
        <v>1.1609393657954093E-3</v>
      </c>
      <c r="G28" s="58">
        <f>A2.7.5!G28/A2.7.5!G$29</f>
        <v>4.1714009042866798E-3</v>
      </c>
      <c r="H28" s="62">
        <f>A2.7.5!H28/A2.7.5!H$29</f>
        <v>6.1374056825156146E-4</v>
      </c>
      <c r="I28" s="58">
        <f>A2.7.5!I28/A2.7.5!I$29</f>
        <v>1.9049908999206181E-3</v>
      </c>
      <c r="J28" s="62">
        <f>A2.7.5!J28/A2.7.5!J$29</f>
        <v>9.3043229315774409E-4</v>
      </c>
      <c r="K28" s="59">
        <f>A2.7.5!K28/A2.7.5!K$29</f>
        <v>2.7307639382393011E-3</v>
      </c>
    </row>
    <row r="29" spans="1:11" customFormat="1" ht="13.35" customHeight="1">
      <c r="A29" s="88"/>
      <c r="B29" s="75" t="s">
        <v>9</v>
      </c>
      <c r="C29" s="89"/>
      <c r="D29" s="63">
        <f>A2.7.5!D29/A2.7.5!D$29</f>
        <v>1</v>
      </c>
      <c r="E29" s="60">
        <f>A2.7.5!E29/A2.7.5!E$29</f>
        <v>1</v>
      </c>
      <c r="F29" s="63">
        <f>A2.7.5!F29/A2.7.5!F$29</f>
        <v>1</v>
      </c>
      <c r="G29" s="60">
        <f>A2.7.5!G29/A2.7.5!G$29</f>
        <v>1</v>
      </c>
      <c r="H29" s="63">
        <f>A2.7.5!H29/A2.7.5!H$29</f>
        <v>1</v>
      </c>
      <c r="I29" s="60">
        <f>A2.7.5!I29/A2.7.5!I$29</f>
        <v>1</v>
      </c>
      <c r="J29" s="63">
        <f>A2.7.5!J29/A2.7.5!J$29</f>
        <v>1</v>
      </c>
      <c r="K29" s="61">
        <f>A2.7.5!K29/A2.7.5!K$29</f>
        <v>1</v>
      </c>
    </row>
    <row r="30" spans="1:11" s="1" customFormat="1" ht="13.35" customHeight="1"/>
    <row r="31" spans="1:11">
      <c r="F31" s="560" t="s">
        <v>506</v>
      </c>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sheetPr codeName="Sheet14" enableFormatConditionsCalculation="0">
    <pageSetUpPr fitToPage="1"/>
  </sheetPr>
  <dimension ref="A1:K34"/>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9.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444</v>
      </c>
      <c r="B1" s="710"/>
      <c r="C1" s="710"/>
      <c r="D1" s="710"/>
      <c r="E1" s="710"/>
      <c r="F1" s="710"/>
      <c r="G1" s="710"/>
      <c r="H1" s="710"/>
      <c r="I1" s="710"/>
      <c r="J1" s="710"/>
      <c r="K1" s="710"/>
    </row>
    <row r="2" spans="1:11" s="8" customFormat="1" ht="15" customHeight="1">
      <c r="A2" s="90"/>
      <c r="B2" s="91" t="s">
        <v>183</v>
      </c>
      <c r="C2" s="92"/>
      <c r="D2" s="84" t="s">
        <v>467</v>
      </c>
      <c r="E2" s="67"/>
      <c r="F2" s="65" t="s">
        <v>468</v>
      </c>
      <c r="G2" s="67"/>
      <c r="H2" s="65" t="s">
        <v>469</v>
      </c>
      <c r="I2" s="67"/>
      <c r="J2" s="708" t="s">
        <v>470</v>
      </c>
      <c r="K2" s="709"/>
    </row>
    <row r="3" spans="1:11" ht="33.75">
      <c r="A3" s="80"/>
      <c r="B3" s="703" t="s">
        <v>95</v>
      </c>
      <c r="C3" s="702"/>
      <c r="D3" s="32" t="s">
        <v>18</v>
      </c>
      <c r="E3" s="33" t="s">
        <v>98</v>
      </c>
      <c r="F3" s="32" t="s">
        <v>18</v>
      </c>
      <c r="G3" s="33" t="s">
        <v>98</v>
      </c>
      <c r="H3" s="32" t="s">
        <v>18</v>
      </c>
      <c r="I3" s="33" t="s">
        <v>98</v>
      </c>
      <c r="J3" s="32" t="s">
        <v>18</v>
      </c>
      <c r="K3" s="86" t="s">
        <v>98</v>
      </c>
    </row>
    <row r="4" spans="1:11" ht="13.35" customHeight="1">
      <c r="A4" s="49"/>
      <c r="B4" s="16" t="s">
        <v>19</v>
      </c>
      <c r="C4" s="16" t="s">
        <v>44</v>
      </c>
      <c r="D4" s="19">
        <v>902</v>
      </c>
      <c r="E4" s="15">
        <v>32.238540999999998</v>
      </c>
      <c r="F4" s="19">
        <v>913</v>
      </c>
      <c r="G4" s="15">
        <v>36.269176000000002</v>
      </c>
      <c r="H4" s="19">
        <v>737</v>
      </c>
      <c r="I4" s="15">
        <v>30.561302000000001</v>
      </c>
      <c r="J4" s="19">
        <v>467</v>
      </c>
      <c r="K4" s="24">
        <v>21.254127</v>
      </c>
    </row>
    <row r="5" spans="1:11" ht="13.35" customHeight="1">
      <c r="A5" s="49"/>
      <c r="B5" s="16" t="s">
        <v>20</v>
      </c>
      <c r="C5" s="50" t="s">
        <v>137</v>
      </c>
      <c r="D5" s="19">
        <v>8</v>
      </c>
      <c r="E5" s="15">
        <v>0.20307500000000001</v>
      </c>
      <c r="F5" s="19">
        <v>11</v>
      </c>
      <c r="G5" s="15">
        <v>0.54482399999999997</v>
      </c>
      <c r="H5" s="19">
        <v>10</v>
      </c>
      <c r="I5" s="15">
        <v>0.49177100000000001</v>
      </c>
      <c r="J5" s="19">
        <v>7</v>
      </c>
      <c r="K5" s="24">
        <v>0.40051799999999999</v>
      </c>
    </row>
    <row r="6" spans="1:11" ht="13.35" customHeight="1">
      <c r="A6" s="49"/>
      <c r="B6" s="16" t="s">
        <v>21</v>
      </c>
      <c r="C6" s="16" t="s">
        <v>45</v>
      </c>
      <c r="D6" s="19">
        <v>1236</v>
      </c>
      <c r="E6" s="15">
        <v>19.002348000000001</v>
      </c>
      <c r="F6" s="19">
        <v>1274</v>
      </c>
      <c r="G6" s="15">
        <v>19.707674000000001</v>
      </c>
      <c r="H6" s="19">
        <v>940</v>
      </c>
      <c r="I6" s="15">
        <v>15.763686</v>
      </c>
      <c r="J6" s="19">
        <v>467</v>
      </c>
      <c r="K6" s="24">
        <v>8.7555069999999997</v>
      </c>
    </row>
    <row r="7" spans="1:11" ht="13.35" customHeight="1">
      <c r="A7" s="49"/>
      <c r="B7" s="16" t="s">
        <v>22</v>
      </c>
      <c r="C7" s="16" t="s">
        <v>46</v>
      </c>
      <c r="D7" s="19">
        <v>1132</v>
      </c>
      <c r="E7" s="15">
        <v>19.821424</v>
      </c>
      <c r="F7" s="19">
        <v>1091</v>
      </c>
      <c r="G7" s="15">
        <v>19.621193999999999</v>
      </c>
      <c r="H7" s="19">
        <v>853</v>
      </c>
      <c r="I7" s="15">
        <v>16.247896000000001</v>
      </c>
      <c r="J7" s="19">
        <v>476</v>
      </c>
      <c r="K7" s="24">
        <v>8.9122319999999995</v>
      </c>
    </row>
    <row r="8" spans="1:11" ht="13.35" customHeight="1">
      <c r="A8" s="49"/>
      <c r="B8" s="16" t="s">
        <v>23</v>
      </c>
      <c r="C8" s="16" t="s">
        <v>47</v>
      </c>
      <c r="D8" s="19">
        <v>2102</v>
      </c>
      <c r="E8" s="15">
        <v>42.592556000000002</v>
      </c>
      <c r="F8" s="19">
        <v>1778</v>
      </c>
      <c r="G8" s="15">
        <v>37.111305999999999</v>
      </c>
      <c r="H8" s="19">
        <v>1252</v>
      </c>
      <c r="I8" s="15">
        <v>25.348635999999999</v>
      </c>
      <c r="J8" s="19">
        <v>749</v>
      </c>
      <c r="K8" s="24">
        <v>15.621917</v>
      </c>
    </row>
    <row r="9" spans="1:11" ht="13.35" customHeight="1">
      <c r="A9" s="49"/>
      <c r="B9" s="16" t="s">
        <v>24</v>
      </c>
      <c r="C9" s="16" t="s">
        <v>48</v>
      </c>
      <c r="D9" s="19">
        <v>3741</v>
      </c>
      <c r="E9" s="15">
        <v>77.511154000000005</v>
      </c>
      <c r="F9" s="19">
        <v>3293</v>
      </c>
      <c r="G9" s="15">
        <v>75.678370000000001</v>
      </c>
      <c r="H9" s="19">
        <v>1994</v>
      </c>
      <c r="I9" s="15">
        <v>45.040267</v>
      </c>
      <c r="J9" s="19">
        <v>1149</v>
      </c>
      <c r="K9" s="24">
        <v>27.244287</v>
      </c>
    </row>
    <row r="10" spans="1:11" s="51" customFormat="1" ht="13.35" customHeight="1">
      <c r="A10" s="49"/>
      <c r="B10" s="16" t="s">
        <v>25</v>
      </c>
      <c r="C10" s="16" t="s">
        <v>49</v>
      </c>
      <c r="D10" s="19">
        <v>4575</v>
      </c>
      <c r="E10" s="15">
        <v>95.860551999999998</v>
      </c>
      <c r="F10" s="19">
        <v>3942</v>
      </c>
      <c r="G10" s="15">
        <v>89.270663999999996</v>
      </c>
      <c r="H10" s="19">
        <v>3537</v>
      </c>
      <c r="I10" s="15">
        <v>83.772313999999994</v>
      </c>
      <c r="J10" s="19">
        <v>2008</v>
      </c>
      <c r="K10" s="24">
        <v>54.151916999999997</v>
      </c>
    </row>
    <row r="11" spans="1:11" s="1" customFormat="1" ht="13.35" customHeight="1">
      <c r="A11" s="26"/>
      <c r="B11" s="16" t="s">
        <v>26</v>
      </c>
      <c r="C11" s="16" t="s">
        <v>50</v>
      </c>
      <c r="D11" s="19">
        <v>5928</v>
      </c>
      <c r="E11" s="15">
        <v>130.386855</v>
      </c>
      <c r="F11" s="19">
        <v>4868</v>
      </c>
      <c r="G11" s="15">
        <v>111.948306</v>
      </c>
      <c r="H11" s="19">
        <v>4047</v>
      </c>
      <c r="I11" s="15">
        <v>97.441519</v>
      </c>
      <c r="J11" s="19">
        <v>2475</v>
      </c>
      <c r="K11" s="24">
        <v>63.492488999999999</v>
      </c>
    </row>
    <row r="12" spans="1:11" s="1" customFormat="1" ht="13.35" customHeight="1">
      <c r="A12" s="26"/>
      <c r="B12" s="16" t="s">
        <v>27</v>
      </c>
      <c r="C12" s="16" t="s">
        <v>51</v>
      </c>
      <c r="D12" s="19">
        <v>7160</v>
      </c>
      <c r="E12" s="15">
        <v>160.47519199999999</v>
      </c>
      <c r="F12" s="19">
        <v>6097</v>
      </c>
      <c r="G12" s="15">
        <v>146.44500400000001</v>
      </c>
      <c r="H12" s="19">
        <v>4693</v>
      </c>
      <c r="I12" s="15">
        <v>114.70254</v>
      </c>
      <c r="J12" s="19">
        <v>2952</v>
      </c>
      <c r="K12" s="24">
        <v>80.459598</v>
      </c>
    </row>
    <row r="13" spans="1:11" s="1" customFormat="1" ht="13.35" customHeight="1">
      <c r="A13" s="26"/>
      <c r="B13" s="27" t="s">
        <v>28</v>
      </c>
      <c r="C13" s="27" t="s">
        <v>52</v>
      </c>
      <c r="D13" s="19">
        <v>8209</v>
      </c>
      <c r="E13" s="15">
        <v>194.94667899999999</v>
      </c>
      <c r="F13" s="19">
        <v>7071</v>
      </c>
      <c r="G13" s="15">
        <v>177.34293600000001</v>
      </c>
      <c r="H13" s="19">
        <v>5415</v>
      </c>
      <c r="I13" s="15">
        <v>139.96477999999999</v>
      </c>
      <c r="J13" s="19">
        <v>3420</v>
      </c>
      <c r="K13" s="24">
        <v>95.920417999999998</v>
      </c>
    </row>
    <row r="14" spans="1:11" s="1" customFormat="1" ht="13.35" customHeight="1">
      <c r="A14" s="26"/>
      <c r="B14" s="27" t="s">
        <v>29</v>
      </c>
      <c r="C14" s="27" t="s">
        <v>53</v>
      </c>
      <c r="D14" s="19">
        <v>9536</v>
      </c>
      <c r="E14" s="15">
        <v>237.518541</v>
      </c>
      <c r="F14" s="19">
        <v>7929</v>
      </c>
      <c r="G14" s="15">
        <v>206.11762200000001</v>
      </c>
      <c r="H14" s="19">
        <v>6398</v>
      </c>
      <c r="I14" s="15">
        <v>172.856359</v>
      </c>
      <c r="J14" s="19">
        <v>3885</v>
      </c>
      <c r="K14" s="24">
        <v>114.22242799999999</v>
      </c>
    </row>
    <row r="15" spans="1:11" customFormat="1" ht="13.35" customHeight="1">
      <c r="A15" s="26"/>
      <c r="B15" s="27" t="s">
        <v>30</v>
      </c>
      <c r="C15" s="27" t="s">
        <v>54</v>
      </c>
      <c r="D15" s="19">
        <v>10291</v>
      </c>
      <c r="E15" s="15">
        <v>264.64795900000001</v>
      </c>
      <c r="F15" s="19">
        <v>8583</v>
      </c>
      <c r="G15" s="15">
        <v>231.912451</v>
      </c>
      <c r="H15" s="19">
        <v>7073</v>
      </c>
      <c r="I15" s="15">
        <v>199.76947699999999</v>
      </c>
      <c r="J15" s="19">
        <v>4430</v>
      </c>
      <c r="K15" s="24">
        <v>136.33563899999999</v>
      </c>
    </row>
    <row r="16" spans="1:11" customFormat="1" ht="13.35" customHeight="1">
      <c r="A16" s="26"/>
      <c r="B16" s="27" t="s">
        <v>31</v>
      </c>
      <c r="C16" s="27" t="s">
        <v>55</v>
      </c>
      <c r="D16" s="19">
        <v>11213</v>
      </c>
      <c r="E16" s="15">
        <v>296.53531900000002</v>
      </c>
      <c r="F16" s="19">
        <v>9686</v>
      </c>
      <c r="G16" s="15">
        <v>277.33880299999998</v>
      </c>
      <c r="H16" s="19">
        <v>7609</v>
      </c>
      <c r="I16" s="15">
        <v>221.65456699999999</v>
      </c>
      <c r="J16" s="19">
        <v>5002</v>
      </c>
      <c r="K16" s="24">
        <v>160.34276299999999</v>
      </c>
    </row>
    <row r="17" spans="1:11" customFormat="1" ht="13.35" customHeight="1">
      <c r="A17" s="26"/>
      <c r="B17" s="27" t="s">
        <v>32</v>
      </c>
      <c r="C17" s="27" t="s">
        <v>56</v>
      </c>
      <c r="D17" s="19">
        <v>11733</v>
      </c>
      <c r="E17" s="15">
        <v>320.84981099999999</v>
      </c>
      <c r="F17" s="19">
        <v>10293</v>
      </c>
      <c r="G17" s="15">
        <v>300.02983999999998</v>
      </c>
      <c r="H17" s="19">
        <v>8380</v>
      </c>
      <c r="I17" s="15">
        <v>249.20444000000001</v>
      </c>
      <c r="J17" s="19">
        <v>5320</v>
      </c>
      <c r="K17" s="24">
        <v>174.33705399999999</v>
      </c>
    </row>
    <row r="18" spans="1:11" customFormat="1" ht="13.35" customHeight="1">
      <c r="A18" s="26"/>
      <c r="B18" s="27" t="s">
        <v>33</v>
      </c>
      <c r="C18" s="27" t="s">
        <v>57</v>
      </c>
      <c r="D18" s="19">
        <v>12070</v>
      </c>
      <c r="E18" s="15">
        <v>346.48964599999999</v>
      </c>
      <c r="F18" s="19">
        <v>10592</v>
      </c>
      <c r="G18" s="15">
        <v>321.40989999999999</v>
      </c>
      <c r="H18" s="19">
        <v>8902</v>
      </c>
      <c r="I18" s="15">
        <v>276.85816399999999</v>
      </c>
      <c r="J18" s="19">
        <v>5831</v>
      </c>
      <c r="K18" s="24">
        <v>195.224245</v>
      </c>
    </row>
    <row r="19" spans="1:11" customFormat="1" ht="13.35" customHeight="1">
      <c r="A19" s="26"/>
      <c r="B19" s="27" t="s">
        <v>34</v>
      </c>
      <c r="C19" s="27" t="s">
        <v>58</v>
      </c>
      <c r="D19" s="19">
        <v>12527</v>
      </c>
      <c r="E19" s="15">
        <v>373.44302399999998</v>
      </c>
      <c r="F19" s="19">
        <v>10963</v>
      </c>
      <c r="G19" s="15">
        <v>341.92848199999997</v>
      </c>
      <c r="H19" s="19">
        <v>9134</v>
      </c>
      <c r="I19" s="15">
        <v>288.04119900000001</v>
      </c>
      <c r="J19" s="19">
        <v>6133</v>
      </c>
      <c r="K19" s="24">
        <v>214.40071900000001</v>
      </c>
    </row>
    <row r="20" spans="1:11" customFormat="1" ht="13.35" customHeight="1">
      <c r="A20" s="26"/>
      <c r="B20" s="27" t="s">
        <v>35</v>
      </c>
      <c r="C20" s="87" t="s">
        <v>59</v>
      </c>
      <c r="D20" s="19">
        <v>64962</v>
      </c>
      <c r="E20" s="15">
        <v>2072.9125760000002</v>
      </c>
      <c r="F20" s="19">
        <v>59580</v>
      </c>
      <c r="G20" s="15">
        <v>2045.797233</v>
      </c>
      <c r="H20" s="19">
        <v>49742</v>
      </c>
      <c r="I20" s="15">
        <v>1740.489859</v>
      </c>
      <c r="J20" s="19">
        <v>33621</v>
      </c>
      <c r="K20" s="24">
        <v>1256.0281239999999</v>
      </c>
    </row>
    <row r="21" spans="1:11" customFormat="1" ht="13.35" customHeight="1">
      <c r="A21" s="26"/>
      <c r="B21" s="27" t="s">
        <v>36</v>
      </c>
      <c r="C21" s="27" t="s">
        <v>60</v>
      </c>
      <c r="D21" s="19">
        <v>117735</v>
      </c>
      <c r="E21" s="15">
        <v>4252.0117440000004</v>
      </c>
      <c r="F21" s="19">
        <v>114793</v>
      </c>
      <c r="G21" s="15">
        <v>4453.6616530000001</v>
      </c>
      <c r="H21" s="19">
        <v>100444</v>
      </c>
      <c r="I21" s="15">
        <v>4059.2741980000001</v>
      </c>
      <c r="J21" s="19">
        <v>71991</v>
      </c>
      <c r="K21" s="24">
        <v>3113.5740639999999</v>
      </c>
    </row>
    <row r="22" spans="1:11" customFormat="1" ht="13.35" customHeight="1">
      <c r="A22" s="26"/>
      <c r="B22" s="27" t="s">
        <v>37</v>
      </c>
      <c r="C22" s="27" t="s">
        <v>61</v>
      </c>
      <c r="D22" s="19">
        <v>79577</v>
      </c>
      <c r="E22" s="15">
        <v>3280.3777960000002</v>
      </c>
      <c r="F22" s="19">
        <v>85191</v>
      </c>
      <c r="G22" s="15">
        <v>3738.1838630000002</v>
      </c>
      <c r="H22" s="19">
        <v>82831</v>
      </c>
      <c r="I22" s="15">
        <v>3727.2859819999999</v>
      </c>
      <c r="J22" s="19">
        <v>64763</v>
      </c>
      <c r="K22" s="24">
        <v>3088.532929</v>
      </c>
    </row>
    <row r="23" spans="1:11" customFormat="1" ht="13.35" customHeight="1">
      <c r="A23" s="26"/>
      <c r="B23" s="27" t="s">
        <v>38</v>
      </c>
      <c r="C23" s="27" t="s">
        <v>62</v>
      </c>
      <c r="D23" s="19">
        <v>50523</v>
      </c>
      <c r="E23" s="15">
        <v>2237.6353949999998</v>
      </c>
      <c r="F23" s="19">
        <v>58696</v>
      </c>
      <c r="G23" s="15">
        <v>2830.8108539999998</v>
      </c>
      <c r="H23" s="19">
        <v>55662</v>
      </c>
      <c r="I23" s="15">
        <v>2761.1764819999999</v>
      </c>
      <c r="J23" s="19">
        <v>45065</v>
      </c>
      <c r="K23" s="24">
        <v>2348.4102370000001</v>
      </c>
    </row>
    <row r="24" spans="1:11" customFormat="1" ht="13.35" customHeight="1">
      <c r="A24" s="26"/>
      <c r="B24" s="27" t="s">
        <v>39</v>
      </c>
      <c r="C24" s="27" t="s">
        <v>63</v>
      </c>
      <c r="D24" s="19">
        <v>53709</v>
      </c>
      <c r="E24" s="15">
        <v>2508.4215359999998</v>
      </c>
      <c r="F24" s="19">
        <v>67102</v>
      </c>
      <c r="G24" s="15">
        <v>3451.9993880000002</v>
      </c>
      <c r="H24" s="19">
        <v>71568</v>
      </c>
      <c r="I24" s="15">
        <v>3791.9804340000001</v>
      </c>
      <c r="J24" s="19">
        <v>60902</v>
      </c>
      <c r="K24" s="24">
        <v>3382.6409149999999</v>
      </c>
    </row>
    <row r="25" spans="1:11" customFormat="1" ht="13.35" customHeight="1">
      <c r="A25" s="26"/>
      <c r="B25" s="27" t="s">
        <v>40</v>
      </c>
      <c r="C25" s="27" t="s">
        <v>64</v>
      </c>
      <c r="D25" s="19">
        <v>18248</v>
      </c>
      <c r="E25" s="15">
        <v>916.939888</v>
      </c>
      <c r="F25" s="19">
        <v>23504</v>
      </c>
      <c r="G25" s="15">
        <v>1307.2466010000001</v>
      </c>
      <c r="H25" s="19">
        <v>24524</v>
      </c>
      <c r="I25" s="15">
        <v>1406.7426419999999</v>
      </c>
      <c r="J25" s="19">
        <v>21788</v>
      </c>
      <c r="K25" s="24">
        <v>1295.473864</v>
      </c>
    </row>
    <row r="26" spans="1:11" customFormat="1" ht="13.35" customHeight="1">
      <c r="A26" s="26"/>
      <c r="B26" s="27" t="s">
        <v>41</v>
      </c>
      <c r="C26" s="27" t="s">
        <v>65</v>
      </c>
      <c r="D26" s="19">
        <v>16735</v>
      </c>
      <c r="E26" s="15">
        <v>874.03494799999999</v>
      </c>
      <c r="F26" s="19">
        <v>20900</v>
      </c>
      <c r="G26" s="15">
        <v>1249.914806</v>
      </c>
      <c r="H26" s="19">
        <v>20576</v>
      </c>
      <c r="I26" s="15">
        <v>1265.8276410000001</v>
      </c>
      <c r="J26" s="19">
        <v>18472</v>
      </c>
      <c r="K26" s="24">
        <v>1171.0245030000001</v>
      </c>
    </row>
    <row r="27" spans="1:11" customFormat="1" ht="13.35" customHeight="1">
      <c r="A27" s="26"/>
      <c r="B27" s="27" t="s">
        <v>42</v>
      </c>
      <c r="C27" s="27" t="s">
        <v>66</v>
      </c>
      <c r="D27" s="19">
        <v>4760</v>
      </c>
      <c r="E27" s="15">
        <v>258.80822899999998</v>
      </c>
      <c r="F27" s="19">
        <v>5241</v>
      </c>
      <c r="G27" s="15">
        <v>333.57063299999999</v>
      </c>
      <c r="H27" s="19">
        <v>4650</v>
      </c>
      <c r="I27" s="15">
        <v>302.49366400000002</v>
      </c>
      <c r="J27" s="19">
        <v>4190</v>
      </c>
      <c r="K27" s="24">
        <v>285.67349899999999</v>
      </c>
    </row>
    <row r="28" spans="1:11" customFormat="1" ht="13.35" customHeight="1">
      <c r="A28" s="26"/>
      <c r="B28" s="27" t="s">
        <v>43</v>
      </c>
      <c r="C28" s="27" t="s">
        <v>67</v>
      </c>
      <c r="D28" s="19">
        <v>947</v>
      </c>
      <c r="E28" s="15">
        <v>53.433844999999998</v>
      </c>
      <c r="F28" s="19">
        <v>828</v>
      </c>
      <c r="G28" s="15">
        <v>52.925975000000001</v>
      </c>
      <c r="H28" s="19">
        <v>658</v>
      </c>
      <c r="I28" s="15">
        <v>44.876325999999999</v>
      </c>
      <c r="J28" s="19">
        <v>543</v>
      </c>
      <c r="K28" s="24">
        <v>37.816732000000002</v>
      </c>
    </row>
    <row r="29" spans="1:11" customFormat="1" ht="13.35" customHeight="1">
      <c r="A29" s="88"/>
      <c r="B29" s="75" t="s">
        <v>9</v>
      </c>
      <c r="C29" s="89"/>
      <c r="D29" s="20">
        <f t="shared" ref="D29:K29" si="0">SUM(D4:D28)</f>
        <v>509559</v>
      </c>
      <c r="E29" s="18">
        <f t="shared" si="0"/>
        <v>19067.098633000001</v>
      </c>
      <c r="F29" s="20">
        <f t="shared" si="0"/>
        <v>524219</v>
      </c>
      <c r="G29" s="18">
        <f t="shared" si="0"/>
        <v>21856.787557999996</v>
      </c>
      <c r="H29" s="20">
        <f t="shared" si="0"/>
        <v>481629</v>
      </c>
      <c r="I29" s="18">
        <f t="shared" si="0"/>
        <v>21077.866145000004</v>
      </c>
      <c r="J29" s="20">
        <f t="shared" si="0"/>
        <v>366106</v>
      </c>
      <c r="K29" s="25">
        <f t="shared" si="0"/>
        <v>17350.250724999998</v>
      </c>
    </row>
    <row r="30" spans="1:11" s="1" customFormat="1" ht="13.35" customHeight="1"/>
    <row r="31" spans="1:11" customFormat="1" ht="13.35" customHeight="1">
      <c r="F31" s="560" t="s">
        <v>506</v>
      </c>
      <c r="H31" s="1"/>
    </row>
    <row r="32" spans="1:11" customFormat="1" ht="13.35" customHeight="1">
      <c r="H32" s="1"/>
    </row>
    <row r="33" spans="3:11" customFormat="1" ht="13.35" customHeight="1">
      <c r="C33" s="170" t="s">
        <v>257</v>
      </c>
      <c r="D33" s="171">
        <f>A2.7.1!D11-D29</f>
        <v>0</v>
      </c>
      <c r="E33" s="171">
        <f>A2.7.1!E11-E29</f>
        <v>0</v>
      </c>
      <c r="F33" s="171">
        <f>A2.7.1!F11-F29</f>
        <v>0</v>
      </c>
      <c r="G33" s="171">
        <f>A2.7.1!G11-G29</f>
        <v>0</v>
      </c>
      <c r="H33" s="171">
        <f>A2.7.1!H11-H29</f>
        <v>0</v>
      </c>
      <c r="I33" s="171">
        <f>A2.7.1!I11-I29</f>
        <v>0</v>
      </c>
      <c r="J33" s="171">
        <f>A2.7.1!J11-J29</f>
        <v>0</v>
      </c>
      <c r="K33" s="172">
        <f>A2.7.1!K11-K29</f>
        <v>0</v>
      </c>
    </row>
    <row r="34" spans="3:11" customFormat="1" ht="13.35" customHeight="1">
      <c r="H34" s="1"/>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sheetPr codeName="Sheet49"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501</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97</v>
      </c>
      <c r="F3" s="32" t="s">
        <v>18</v>
      </c>
      <c r="G3" s="134" t="s">
        <v>97</v>
      </c>
      <c r="H3" s="32" t="s">
        <v>18</v>
      </c>
      <c r="I3" s="134" t="s">
        <v>97</v>
      </c>
      <c r="J3" s="33" t="s">
        <v>18</v>
      </c>
      <c r="K3" s="86" t="s">
        <v>97</v>
      </c>
    </row>
    <row r="4" spans="1:11" ht="13.35" customHeight="1">
      <c r="A4" s="49"/>
      <c r="B4" s="16" t="s">
        <v>19</v>
      </c>
      <c r="C4" s="16" t="s">
        <v>44</v>
      </c>
      <c r="D4" s="62">
        <f>A2.7.6!D4/A2.7.6!D$29</f>
        <v>1.770158117116958E-3</v>
      </c>
      <c r="E4" s="58">
        <f>A2.7.6!E4/A2.7.6!E$29</f>
        <v>1.6907942640105604E-3</v>
      </c>
      <c r="F4" s="62">
        <f>A2.7.6!F4/A2.7.6!F$29</f>
        <v>1.7416385136746284E-3</v>
      </c>
      <c r="G4" s="58">
        <f>A2.7.6!G4/A2.7.6!G$29</f>
        <v>1.6594010397801939E-3</v>
      </c>
      <c r="H4" s="62">
        <f>A2.7.6!H4/A2.7.6!H$29</f>
        <v>1.5302234707627656E-3</v>
      </c>
      <c r="I4" s="58">
        <f>A2.7.6!I4/A2.7.6!I$29</f>
        <v>1.4499239054732121E-3</v>
      </c>
      <c r="J4" s="62">
        <f>A2.7.6!J4/A2.7.6!J$29</f>
        <v>1.2755868518953526E-3</v>
      </c>
      <c r="K4" s="59">
        <f>A2.7.6!K4/A2.7.6!K$29</f>
        <v>1.2250040265628498E-3</v>
      </c>
    </row>
    <row r="5" spans="1:11" ht="13.35" customHeight="1">
      <c r="A5" s="49"/>
      <c r="B5" s="16" t="s">
        <v>20</v>
      </c>
      <c r="C5" s="50" t="s">
        <v>137</v>
      </c>
      <c r="D5" s="62">
        <f>A2.7.6!D5/A2.7.6!D$29</f>
        <v>1.5699850262678119E-5</v>
      </c>
      <c r="E5" s="58">
        <f>A2.7.6!E5/A2.7.6!E$29</f>
        <v>1.0650545419035699E-5</v>
      </c>
      <c r="F5" s="62">
        <f>A2.7.6!F5/A2.7.6!F$29</f>
        <v>2.0983596550296726E-5</v>
      </c>
      <c r="G5" s="58">
        <f>A2.7.6!G5/A2.7.6!G$29</f>
        <v>2.4926993436443231E-5</v>
      </c>
      <c r="H5" s="62">
        <f>A2.7.6!H5/A2.7.6!H$29</f>
        <v>2.076286934549207E-5</v>
      </c>
      <c r="I5" s="58">
        <f>A2.7.6!I5/A2.7.6!I$29</f>
        <v>2.333115679817787E-5</v>
      </c>
      <c r="J5" s="62">
        <f>A2.7.6!J5/A2.7.6!J$29</f>
        <v>1.9120145531621991E-5</v>
      </c>
      <c r="K5" s="59">
        <f>A2.7.6!K5/A2.7.6!K$29</f>
        <v>2.3084277359916943E-5</v>
      </c>
    </row>
    <row r="6" spans="1:11" ht="13.35" customHeight="1">
      <c r="A6" s="49"/>
      <c r="B6" s="16" t="s">
        <v>21</v>
      </c>
      <c r="C6" s="16" t="s">
        <v>45</v>
      </c>
      <c r="D6" s="62">
        <f>A2.7.6!D6/A2.7.6!D$29</f>
        <v>2.4256268655837693E-3</v>
      </c>
      <c r="E6" s="58">
        <f>A2.7.6!E6/A2.7.6!E$29</f>
        <v>9.9660406471659331E-4</v>
      </c>
      <c r="F6" s="62">
        <f>A2.7.6!F6/A2.7.6!F$29</f>
        <v>2.4302820004616392E-3</v>
      </c>
      <c r="G6" s="58">
        <f>A2.7.6!G6/A2.7.6!G$29</f>
        <v>9.0167294474098603E-4</v>
      </c>
      <c r="H6" s="62">
        <f>A2.7.6!H6/A2.7.6!H$29</f>
        <v>1.9517097184762544E-3</v>
      </c>
      <c r="I6" s="58">
        <f>A2.7.6!I6/A2.7.6!I$29</f>
        <v>7.4787864632774469E-4</v>
      </c>
      <c r="J6" s="62">
        <f>A2.7.6!J6/A2.7.6!J$29</f>
        <v>1.2755868518953526E-3</v>
      </c>
      <c r="K6" s="59">
        <f>A2.7.6!K6/A2.7.6!K$29</f>
        <v>5.0463288045654456E-4</v>
      </c>
    </row>
    <row r="7" spans="1:11" ht="13.35" customHeight="1">
      <c r="A7" s="49"/>
      <c r="B7" s="16" t="s">
        <v>22</v>
      </c>
      <c r="C7" s="16" t="s">
        <v>46</v>
      </c>
      <c r="D7" s="62">
        <f>A2.7.6!D7/A2.7.6!D$29</f>
        <v>2.221528812168954E-3</v>
      </c>
      <c r="E7" s="58">
        <f>A2.7.6!E7/A2.7.6!E$29</f>
        <v>1.0395616229568595E-3</v>
      </c>
      <c r="F7" s="62">
        <f>A2.7.6!F7/A2.7.6!F$29</f>
        <v>2.0811912578521572E-3</v>
      </c>
      <c r="G7" s="58">
        <f>A2.7.6!G7/A2.7.6!G$29</f>
        <v>8.977162791161537E-4</v>
      </c>
      <c r="H7" s="62">
        <f>A2.7.6!H7/A2.7.6!H$29</f>
        <v>1.7710727551704735E-3</v>
      </c>
      <c r="I7" s="58">
        <f>A2.7.6!I7/A2.7.6!I$29</f>
        <v>7.7085108559977512E-4</v>
      </c>
      <c r="J7" s="62">
        <f>A2.7.6!J7/A2.7.6!J$29</f>
        <v>1.3001698961502954E-3</v>
      </c>
      <c r="K7" s="59">
        <f>A2.7.6!K7/A2.7.6!K$29</f>
        <v>5.1366589113080387E-4</v>
      </c>
    </row>
    <row r="8" spans="1:11" ht="13.35" customHeight="1">
      <c r="A8" s="49"/>
      <c r="B8" s="16" t="s">
        <v>23</v>
      </c>
      <c r="C8" s="16" t="s">
        <v>47</v>
      </c>
      <c r="D8" s="62">
        <f>A2.7.6!D8/A2.7.6!D$29</f>
        <v>4.1251356565186756E-3</v>
      </c>
      <c r="E8" s="58">
        <f>A2.7.6!E8/A2.7.6!E$29</f>
        <v>2.2338247060978531E-3</v>
      </c>
      <c r="F8" s="62">
        <f>A2.7.6!F8/A2.7.6!F$29</f>
        <v>3.3917122424025072E-3</v>
      </c>
      <c r="G8" s="58">
        <f>A2.7.6!G8/A2.7.6!G$29</f>
        <v>1.6979304896257072E-3</v>
      </c>
      <c r="H8" s="62">
        <f>A2.7.6!H8/A2.7.6!H$29</f>
        <v>2.599511242055607E-3</v>
      </c>
      <c r="I8" s="58">
        <f>A2.7.6!I8/A2.7.6!I$29</f>
        <v>1.2026187008504696E-3</v>
      </c>
      <c r="J8" s="62">
        <f>A2.7.6!J8/A2.7.6!J$29</f>
        <v>2.0458555718835527E-3</v>
      </c>
      <c r="K8" s="59">
        <f>A2.7.6!K8/A2.7.6!K$29</f>
        <v>9.0038566287058662E-4</v>
      </c>
    </row>
    <row r="9" spans="1:11" ht="13.35" customHeight="1">
      <c r="A9" s="49"/>
      <c r="B9" s="16" t="s">
        <v>24</v>
      </c>
      <c r="C9" s="16" t="s">
        <v>48</v>
      </c>
      <c r="D9" s="62">
        <f>A2.7.6!D9/A2.7.6!D$29</f>
        <v>7.3416424790848558E-3</v>
      </c>
      <c r="E9" s="58">
        <f>A2.7.6!E9/A2.7.6!E$29</f>
        <v>4.0651782157275426E-3</v>
      </c>
      <c r="F9" s="62">
        <f>A2.7.6!F9/A2.7.6!F$29</f>
        <v>6.281725767284284E-3</v>
      </c>
      <c r="G9" s="58">
        <f>A2.7.6!G9/A2.7.6!G$29</f>
        <v>3.4624653691297052E-3</v>
      </c>
      <c r="H9" s="62">
        <f>A2.7.6!H9/A2.7.6!H$29</f>
        <v>4.1401161474911184E-3</v>
      </c>
      <c r="I9" s="58">
        <f>A2.7.6!I9/A2.7.6!I$29</f>
        <v>2.1368513629490076E-3</v>
      </c>
      <c r="J9" s="62">
        <f>A2.7.6!J9/A2.7.6!J$29</f>
        <v>3.1384353165476667E-3</v>
      </c>
      <c r="K9" s="59">
        <f>A2.7.6!K9/A2.7.6!K$29</f>
        <v>1.5702532160381793E-3</v>
      </c>
    </row>
    <row r="10" spans="1:11" s="51" customFormat="1" ht="13.35" customHeight="1">
      <c r="A10" s="49"/>
      <c r="B10" s="16" t="s">
        <v>25</v>
      </c>
      <c r="C10" s="16" t="s">
        <v>49</v>
      </c>
      <c r="D10" s="62">
        <f>A2.7.6!D10/A2.7.6!D$29</f>
        <v>8.9783518689690502E-3</v>
      </c>
      <c r="E10" s="58">
        <f>A2.7.6!E10/A2.7.6!E$29</f>
        <v>5.0275374269104188E-3</v>
      </c>
      <c r="F10" s="62">
        <f>A2.7.6!F10/A2.7.6!F$29</f>
        <v>7.5197579637517904E-3</v>
      </c>
      <c r="G10" s="58">
        <f>A2.7.6!G10/A2.7.6!G$29</f>
        <v>4.0843451382371722E-3</v>
      </c>
      <c r="H10" s="62">
        <f>A2.7.6!H10/A2.7.6!H$29</f>
        <v>7.3438268875005448E-3</v>
      </c>
      <c r="I10" s="58">
        <f>A2.7.6!I10/A2.7.6!I$29</f>
        <v>3.9744210075018478E-3</v>
      </c>
      <c r="J10" s="62">
        <f>A2.7.6!J10/A2.7.6!J$29</f>
        <v>5.4847503182138503E-3</v>
      </c>
      <c r="K10" s="59">
        <f>A2.7.6!K10/A2.7.6!K$29</f>
        <v>3.1211028508062095E-3</v>
      </c>
    </row>
    <row r="11" spans="1:11" s="1" customFormat="1" ht="13.35" customHeight="1">
      <c r="A11" s="26"/>
      <c r="B11" s="16" t="s">
        <v>26</v>
      </c>
      <c r="C11" s="16" t="s">
        <v>50</v>
      </c>
      <c r="D11" s="62">
        <f>A2.7.6!D11/A2.7.6!D$29</f>
        <v>1.1633589044644487E-2</v>
      </c>
      <c r="E11" s="58">
        <f>A2.7.6!E11/A2.7.6!E$29</f>
        <v>6.8383164900786501E-3</v>
      </c>
      <c r="F11" s="62">
        <f>A2.7.6!F11/A2.7.6!F$29</f>
        <v>9.2861952733494964E-3</v>
      </c>
      <c r="G11" s="58">
        <f>A2.7.6!G11/A2.7.6!G$29</f>
        <v>5.121901180716963E-3</v>
      </c>
      <c r="H11" s="62">
        <f>A2.7.6!H11/A2.7.6!H$29</f>
        <v>8.4027332241206412E-3</v>
      </c>
      <c r="I11" s="58">
        <f>A2.7.6!I11/A2.7.6!I$29</f>
        <v>4.6229309138636236E-3</v>
      </c>
      <c r="J11" s="62">
        <f>A2.7.6!J11/A2.7.6!J$29</f>
        <v>6.7603371701092036E-3</v>
      </c>
      <c r="K11" s="59">
        <f>A2.7.6!K11/A2.7.6!K$29</f>
        <v>3.6594565696110425E-3</v>
      </c>
    </row>
    <row r="12" spans="1:11" s="1" customFormat="1" ht="13.35" customHeight="1">
      <c r="A12" s="26"/>
      <c r="B12" s="16" t="s">
        <v>27</v>
      </c>
      <c r="C12" s="16" t="s">
        <v>51</v>
      </c>
      <c r="D12" s="62">
        <f>A2.7.6!D12/A2.7.6!D$29</f>
        <v>1.4051365985096917E-2</v>
      </c>
      <c r="E12" s="58">
        <f>A2.7.6!E12/A2.7.6!E$29</f>
        <v>8.416340371904342E-3</v>
      </c>
      <c r="F12" s="62">
        <f>A2.7.6!F12/A2.7.6!F$29</f>
        <v>1.1630635287923559E-2</v>
      </c>
      <c r="G12" s="58">
        <f>A2.7.6!G12/A2.7.6!G$29</f>
        <v>6.7002071375488288E-3</v>
      </c>
      <c r="H12" s="62">
        <f>A2.7.6!H12/A2.7.6!H$29</f>
        <v>9.7440145838394287E-3</v>
      </c>
      <c r="I12" s="58">
        <f>A2.7.6!I12/A2.7.6!I$29</f>
        <v>5.4418478232536463E-3</v>
      </c>
      <c r="J12" s="62">
        <f>A2.7.6!J12/A2.7.6!J$29</f>
        <v>8.063238515621159E-3</v>
      </c>
      <c r="K12" s="59">
        <f>A2.7.6!K12/A2.7.6!K$29</f>
        <v>4.6373737921876637E-3</v>
      </c>
    </row>
    <row r="13" spans="1:11" s="1" customFormat="1" ht="13.35" customHeight="1">
      <c r="A13" s="26"/>
      <c r="B13" s="27" t="s">
        <v>28</v>
      </c>
      <c r="C13" s="27" t="s">
        <v>52</v>
      </c>
      <c r="D13" s="62">
        <f>A2.7.6!D13/A2.7.6!D$29</f>
        <v>1.6110008850790586E-2</v>
      </c>
      <c r="E13" s="58">
        <f>A2.7.6!E13/A2.7.6!E$29</f>
        <v>1.0224244535170124E-2</v>
      </c>
      <c r="F13" s="62">
        <f>A2.7.6!F13/A2.7.6!F$29</f>
        <v>1.3488637382468015E-2</v>
      </c>
      <c r="G13" s="58">
        <f>A2.7.6!G13/A2.7.6!G$29</f>
        <v>8.1138609930391688E-3</v>
      </c>
      <c r="H13" s="62">
        <f>A2.7.6!H13/A2.7.6!H$29</f>
        <v>1.1243093750583955E-2</v>
      </c>
      <c r="I13" s="58">
        <f>A2.7.6!I13/A2.7.6!I$29</f>
        <v>6.6403676272136208E-3</v>
      </c>
      <c r="J13" s="62">
        <f>A2.7.6!J13/A2.7.6!J$29</f>
        <v>9.3415568168781719E-3</v>
      </c>
      <c r="K13" s="59">
        <f>A2.7.6!K13/A2.7.6!K$29</f>
        <v>5.5284744595528032E-3</v>
      </c>
    </row>
    <row r="14" spans="1:11" s="1" customFormat="1" ht="13.35" customHeight="1">
      <c r="A14" s="26"/>
      <c r="B14" s="27" t="s">
        <v>29</v>
      </c>
      <c r="C14" s="27" t="s">
        <v>53</v>
      </c>
      <c r="D14" s="62">
        <f>A2.7.6!D14/A2.7.6!D$29</f>
        <v>1.871422151311232E-2</v>
      </c>
      <c r="E14" s="58">
        <f>A2.7.6!E14/A2.7.6!E$29</f>
        <v>1.2456983916206293E-2</v>
      </c>
      <c r="F14" s="62">
        <f>A2.7.6!F14/A2.7.6!F$29</f>
        <v>1.5125357913391159E-2</v>
      </c>
      <c r="G14" s="58">
        <f>A2.7.6!G14/A2.7.6!G$29</f>
        <v>9.4303712955546883E-3</v>
      </c>
      <c r="H14" s="62">
        <f>A2.7.6!H14/A2.7.6!H$29</f>
        <v>1.3284083807245826E-2</v>
      </c>
      <c r="I14" s="58">
        <f>A2.7.6!I14/A2.7.6!I$29</f>
        <v>8.2008471735647778E-3</v>
      </c>
      <c r="J14" s="62">
        <f>A2.7.6!J14/A2.7.6!J$29</f>
        <v>1.0611680770050204E-2</v>
      </c>
      <c r="K14" s="59">
        <f>A2.7.6!K14/A2.7.6!K$29</f>
        <v>6.583330109196448E-3</v>
      </c>
    </row>
    <row r="15" spans="1:11" customFormat="1" ht="13.35" customHeight="1">
      <c r="A15" s="26"/>
      <c r="B15" s="27" t="s">
        <v>30</v>
      </c>
      <c r="C15" s="27" t="s">
        <v>54</v>
      </c>
      <c r="D15" s="62">
        <f>A2.7.6!D15/A2.7.6!D$29</f>
        <v>2.0195894881652566E-2</v>
      </c>
      <c r="E15" s="58">
        <f>A2.7.6!E15/A2.7.6!E$29</f>
        <v>1.3879823254386791E-2</v>
      </c>
      <c r="F15" s="62">
        <f>A2.7.6!F15/A2.7.6!F$29</f>
        <v>1.6372928108290618E-2</v>
      </c>
      <c r="G15" s="58">
        <f>A2.7.6!G15/A2.7.6!G$29</f>
        <v>1.0610546055068174E-2</v>
      </c>
      <c r="H15" s="62">
        <f>A2.7.6!H15/A2.7.6!H$29</f>
        <v>1.468557748806654E-2</v>
      </c>
      <c r="I15" s="58">
        <f>A2.7.6!I15/A2.7.6!I$29</f>
        <v>9.4776898015071793E-3</v>
      </c>
      <c r="J15" s="62">
        <f>A2.7.6!J15/A2.7.6!J$29</f>
        <v>1.2100320672155059E-2</v>
      </c>
      <c r="K15" s="59">
        <f>A2.7.6!K15/A2.7.6!K$29</f>
        <v>7.8578483481828755E-3</v>
      </c>
    </row>
    <row r="16" spans="1:11" customFormat="1" ht="13.35" customHeight="1">
      <c r="A16" s="26"/>
      <c r="B16" s="27" t="s">
        <v>31</v>
      </c>
      <c r="C16" s="27" t="s">
        <v>55</v>
      </c>
      <c r="D16" s="62">
        <f>A2.7.6!D16/A2.7.6!D$29</f>
        <v>2.200530262442622E-2</v>
      </c>
      <c r="E16" s="58">
        <f>A2.7.6!E16/A2.7.6!E$29</f>
        <v>1.5552199351755459E-2</v>
      </c>
      <c r="F16" s="62">
        <f>A2.7.6!F16/A2.7.6!F$29</f>
        <v>1.8477010562379464E-2</v>
      </c>
      <c r="G16" s="58">
        <f>A2.7.6!G16/A2.7.6!G$29</f>
        <v>1.2688909670007235E-2</v>
      </c>
      <c r="H16" s="62">
        <f>A2.7.6!H16/A2.7.6!H$29</f>
        <v>1.5798467284984914E-2</v>
      </c>
      <c r="I16" s="58">
        <f>A2.7.6!I16/A2.7.6!I$29</f>
        <v>1.0515987029957484E-2</v>
      </c>
      <c r="J16" s="62">
        <f>A2.7.6!J16/A2.7.6!J$29</f>
        <v>1.3662709707024741E-2</v>
      </c>
      <c r="K16" s="59">
        <f>A2.7.6!K16/A2.7.6!K$29</f>
        <v>9.2415242604512865E-3</v>
      </c>
    </row>
    <row r="17" spans="1:11" customFormat="1" ht="13.35" customHeight="1">
      <c r="A17" s="26"/>
      <c r="B17" s="27" t="s">
        <v>32</v>
      </c>
      <c r="C17" s="27" t="s">
        <v>56</v>
      </c>
      <c r="D17" s="62">
        <f>A2.7.6!D17/A2.7.6!D$29</f>
        <v>2.3025792891500297E-2</v>
      </c>
      <c r="E17" s="58">
        <f>A2.7.6!E17/A2.7.6!E$29</f>
        <v>1.6827406055617479E-2</v>
      </c>
      <c r="F17" s="62">
        <f>A2.7.6!F17/A2.7.6!F$29</f>
        <v>1.9634923572018563E-2</v>
      </c>
      <c r="G17" s="58">
        <f>A2.7.6!G17/A2.7.6!G$29</f>
        <v>1.3727078565586524E-2</v>
      </c>
      <c r="H17" s="62">
        <f>A2.7.6!H17/A2.7.6!H$29</f>
        <v>1.7399284511522353E-2</v>
      </c>
      <c r="I17" s="58">
        <f>A2.7.6!I17/A2.7.6!I$29</f>
        <v>1.1823039309845658E-2</v>
      </c>
      <c r="J17" s="62">
        <f>A2.7.6!J17/A2.7.6!J$29</f>
        <v>1.4531310604032711E-2</v>
      </c>
      <c r="K17" s="59">
        <f>A2.7.6!K17/A2.7.6!K$29</f>
        <v>1.0048099982140173E-2</v>
      </c>
    </row>
    <row r="18" spans="1:11" customFormat="1" ht="13.35" customHeight="1">
      <c r="A18" s="26"/>
      <c r="B18" s="27" t="s">
        <v>33</v>
      </c>
      <c r="C18" s="27" t="s">
        <v>57</v>
      </c>
      <c r="D18" s="62">
        <f>A2.7.6!D18/A2.7.6!D$29</f>
        <v>2.3687149083815612E-2</v>
      </c>
      <c r="E18" s="58">
        <f>A2.7.6!E18/A2.7.6!E$29</f>
        <v>1.8172122181206948E-2</v>
      </c>
      <c r="F18" s="62">
        <f>A2.7.6!F18/A2.7.6!F$29</f>
        <v>2.0205295878249357E-2</v>
      </c>
      <c r="G18" s="58">
        <f>A2.7.6!G18/A2.7.6!G$29</f>
        <v>1.4705267146285544E-2</v>
      </c>
      <c r="H18" s="62">
        <f>A2.7.6!H18/A2.7.6!H$29</f>
        <v>1.8483106291357042E-2</v>
      </c>
      <c r="I18" s="58">
        <f>A2.7.6!I18/A2.7.6!I$29</f>
        <v>1.3135018606505148E-2</v>
      </c>
      <c r="J18" s="62">
        <f>A2.7.6!J18/A2.7.6!J$29</f>
        <v>1.5927081227841117E-2</v>
      </c>
      <c r="K18" s="59">
        <f>A2.7.6!K18/A2.7.6!K$29</f>
        <v>1.125195526533234E-2</v>
      </c>
    </row>
    <row r="19" spans="1:11" customFormat="1" ht="13.35" customHeight="1">
      <c r="A19" s="26"/>
      <c r="B19" s="27" t="s">
        <v>34</v>
      </c>
      <c r="C19" s="27" t="s">
        <v>58</v>
      </c>
      <c r="D19" s="62">
        <f>A2.7.6!D19/A2.7.6!D$29</f>
        <v>2.4584003030071102E-2</v>
      </c>
      <c r="E19" s="58">
        <f>A2.7.6!E19/A2.7.6!E$29</f>
        <v>1.9585728861425771E-2</v>
      </c>
      <c r="F19" s="62">
        <f>A2.7.6!F19/A2.7.6!F$29</f>
        <v>2.0913015361900274E-2</v>
      </c>
      <c r="G19" s="58">
        <f>A2.7.6!G19/A2.7.6!G$29</f>
        <v>1.5644041060135009E-2</v>
      </c>
      <c r="H19" s="62">
        <f>A2.7.6!H19/A2.7.6!H$29</f>
        <v>1.8964804860172456E-2</v>
      </c>
      <c r="I19" s="58">
        <f>A2.7.6!I19/A2.7.6!I$29</f>
        <v>1.3665576819707047E-2</v>
      </c>
      <c r="J19" s="62">
        <f>A2.7.6!J19/A2.7.6!J$29</f>
        <v>1.6751978935062521E-2</v>
      </c>
      <c r="K19" s="59">
        <f>A2.7.6!K19/A2.7.6!K$29</f>
        <v>1.2357211569920989E-2</v>
      </c>
    </row>
    <row r="20" spans="1:11" customFormat="1" ht="13.35" customHeight="1">
      <c r="A20" s="26"/>
      <c r="B20" s="27" t="s">
        <v>35</v>
      </c>
      <c r="C20" s="87" t="s">
        <v>59</v>
      </c>
      <c r="D20" s="62">
        <f>A2.7.6!D20/A2.7.6!D$29</f>
        <v>0.12748670909551199</v>
      </c>
      <c r="E20" s="58">
        <f>A2.7.6!E20/A2.7.6!E$29</f>
        <v>0.10871672800875683</v>
      </c>
      <c r="F20" s="62">
        <f>A2.7.6!F20/A2.7.6!F$29</f>
        <v>0.11365478931515263</v>
      </c>
      <c r="G20" s="58">
        <f>A2.7.6!G20/A2.7.6!G$29</f>
        <v>9.3600087733441861E-2</v>
      </c>
      <c r="H20" s="62">
        <f>A2.7.6!H20/A2.7.6!H$29</f>
        <v>0.10327866469834665</v>
      </c>
      <c r="I20" s="58">
        <f>A2.7.6!I20/A2.7.6!I$29</f>
        <v>8.257429129811944E-2</v>
      </c>
      <c r="J20" s="62">
        <f>A2.7.6!J20/A2.7.6!J$29</f>
        <v>9.1834058988380415E-2</v>
      </c>
      <c r="K20" s="59">
        <f>A2.7.6!K20/A2.7.6!K$29</f>
        <v>7.2392505670836646E-2</v>
      </c>
    </row>
    <row r="21" spans="1:11" customFormat="1" ht="13.35" customHeight="1">
      <c r="A21" s="26"/>
      <c r="B21" s="27" t="s">
        <v>36</v>
      </c>
      <c r="C21" s="27" t="s">
        <v>60</v>
      </c>
      <c r="D21" s="62">
        <f>A2.7.6!D21/A2.7.6!D$29</f>
        <v>0.23105273383455105</v>
      </c>
      <c r="E21" s="58">
        <f>A2.7.6!E21/A2.7.6!E$29</f>
        <v>0.22300255669947161</v>
      </c>
      <c r="F21" s="62">
        <f>A2.7.6!F21/A2.7.6!F$29</f>
        <v>0.21897909079983746</v>
      </c>
      <c r="G21" s="58">
        <f>A2.7.6!G21/A2.7.6!G$29</f>
        <v>0.20376561016487879</v>
      </c>
      <c r="H21" s="62">
        <f>A2.7.6!H21/A2.7.6!H$29</f>
        <v>0.20855056485386053</v>
      </c>
      <c r="I21" s="58">
        <f>A2.7.6!I21/A2.7.6!I$29</f>
        <v>0.19258468433546452</v>
      </c>
      <c r="J21" s="62">
        <f>A2.7.6!J21/A2.7.6!J$29</f>
        <v>0.19663977099528551</v>
      </c>
      <c r="K21" s="59">
        <f>A2.7.6!K21/A2.7.6!K$29</f>
        <v>0.17945412509305397</v>
      </c>
    </row>
    <row r="22" spans="1:11" customFormat="1" ht="13.35" customHeight="1">
      <c r="A22" s="26"/>
      <c r="B22" s="27" t="s">
        <v>37</v>
      </c>
      <c r="C22" s="27" t="s">
        <v>61</v>
      </c>
      <c r="D22" s="62">
        <f>A2.7.6!D22/A2.7.6!D$29</f>
        <v>0.15616837304414208</v>
      </c>
      <c r="E22" s="58">
        <f>A2.7.6!E22/A2.7.6!E$29</f>
        <v>0.17204388874994078</v>
      </c>
      <c r="F22" s="62">
        <f>A2.7.6!F22/A2.7.6!F$29</f>
        <v>0.16251032488330258</v>
      </c>
      <c r="G22" s="58">
        <f>A2.7.6!G22/A2.7.6!G$29</f>
        <v>0.17103080006978219</v>
      </c>
      <c r="H22" s="62">
        <f>A2.7.6!H22/A2.7.6!H$29</f>
        <v>0.17198092307564536</v>
      </c>
      <c r="I22" s="58">
        <f>A2.7.6!I22/A2.7.6!I$29</f>
        <v>0.17683412335760421</v>
      </c>
      <c r="J22" s="62">
        <f>A2.7.6!J22/A2.7.6!J$29</f>
        <v>0.17689685500920499</v>
      </c>
      <c r="K22" s="59">
        <f>A2.7.6!K22/A2.7.6!K$29</f>
        <v>0.1780108528662199</v>
      </c>
    </row>
    <row r="23" spans="1:11" customFormat="1" ht="13.35" customHeight="1">
      <c r="A23" s="26"/>
      <c r="B23" s="27" t="s">
        <v>38</v>
      </c>
      <c r="C23" s="27" t="s">
        <v>62</v>
      </c>
      <c r="D23" s="62">
        <f>A2.7.6!D23/A2.7.6!D$29</f>
        <v>9.9150441852660837E-2</v>
      </c>
      <c r="E23" s="58">
        <f>A2.7.6!E23/A2.7.6!E$29</f>
        <v>0.11735584097347967</v>
      </c>
      <c r="F23" s="62">
        <f>A2.7.6!F23/A2.7.6!F$29</f>
        <v>0.11196847119238333</v>
      </c>
      <c r="G23" s="58">
        <f>A2.7.6!G23/A2.7.6!G$29</f>
        <v>0.12951632743320826</v>
      </c>
      <c r="H23" s="62">
        <f>A2.7.6!H23/A2.7.6!H$29</f>
        <v>0.11557028335087796</v>
      </c>
      <c r="I23" s="58">
        <f>A2.7.6!I23/A2.7.6!I$29</f>
        <v>0.13099886217158627</v>
      </c>
      <c r="J23" s="62">
        <f>A2.7.6!J23/A2.7.6!J$29</f>
        <v>0.12309276548322071</v>
      </c>
      <c r="K23" s="59">
        <f>A2.7.6!K23/A2.7.6!K$29</f>
        <v>0.13535310089877681</v>
      </c>
    </row>
    <row r="24" spans="1:11" customFormat="1" ht="13.35" customHeight="1">
      <c r="A24" s="26"/>
      <c r="B24" s="27" t="s">
        <v>39</v>
      </c>
      <c r="C24" s="27" t="s">
        <v>63</v>
      </c>
      <c r="D24" s="62">
        <f>A2.7.6!D24/A2.7.6!D$29</f>
        <v>0.10540290721977238</v>
      </c>
      <c r="E24" s="58">
        <f>A2.7.6!E24/A2.7.6!E$29</f>
        <v>0.13155758955684002</v>
      </c>
      <c r="F24" s="62">
        <f>A2.7.6!F24/A2.7.6!F$29</f>
        <v>0.12800375415618281</v>
      </c>
      <c r="G24" s="58">
        <f>A2.7.6!G24/A2.7.6!G$29</f>
        <v>0.15793717987328396</v>
      </c>
      <c r="H24" s="62">
        <f>A2.7.6!H24/A2.7.6!H$29</f>
        <v>0.14859570333181765</v>
      </c>
      <c r="I24" s="58">
        <f>A2.7.6!I24/A2.7.6!I$29</f>
        <v>0.17990343082710564</v>
      </c>
      <c r="J24" s="62">
        <f>A2.7.6!J24/A2.7.6!J$29</f>
        <v>0.16635072902383463</v>
      </c>
      <c r="K24" s="59">
        <f>A2.7.6!K24/A2.7.6!K$29</f>
        <v>0.19496207683765332</v>
      </c>
    </row>
    <row r="25" spans="1:11" customFormat="1" ht="13.35" customHeight="1">
      <c r="A25" s="26"/>
      <c r="B25" s="27" t="s">
        <v>40</v>
      </c>
      <c r="C25" s="27" t="s">
        <v>64</v>
      </c>
      <c r="D25" s="62">
        <f>A2.7.6!D25/A2.7.6!D$29</f>
        <v>3.5811358449168794E-2</v>
      </c>
      <c r="E25" s="58">
        <f>A2.7.6!E25/A2.7.6!E$29</f>
        <v>4.8090163356737693E-2</v>
      </c>
      <c r="F25" s="62">
        <f>A2.7.6!F25/A2.7.6!F$29</f>
        <v>4.4836223028924933E-2</v>
      </c>
      <c r="G25" s="58">
        <f>A2.7.6!G25/A2.7.6!G$29</f>
        <v>5.9809640256192322E-2</v>
      </c>
      <c r="H25" s="62">
        <f>A2.7.6!H25/A2.7.6!H$29</f>
        <v>5.0918860782884753E-2</v>
      </c>
      <c r="I25" s="58">
        <f>A2.7.6!I25/A2.7.6!I$29</f>
        <v>6.6740277802442585E-2</v>
      </c>
      <c r="J25" s="62">
        <f>A2.7.6!J25/A2.7.6!J$29</f>
        <v>5.951281869185427E-2</v>
      </c>
      <c r="K25" s="59">
        <f>A2.7.6!K25/A2.7.6!K$29</f>
        <v>7.4666002499511441E-2</v>
      </c>
    </row>
    <row r="26" spans="1:11" customFormat="1" ht="13.35" customHeight="1">
      <c r="A26" s="26"/>
      <c r="B26" s="27" t="s">
        <v>41</v>
      </c>
      <c r="C26" s="27" t="s">
        <v>65</v>
      </c>
      <c r="D26" s="62">
        <f>A2.7.6!D26/A2.7.6!D$29</f>
        <v>3.2842124268239792E-2</v>
      </c>
      <c r="E26" s="58">
        <f>A2.7.6!E26/A2.7.6!E$29</f>
        <v>4.5839955245591556E-2</v>
      </c>
      <c r="F26" s="62">
        <f>A2.7.6!F26/A2.7.6!F$29</f>
        <v>3.986883344556378E-2</v>
      </c>
      <c r="G26" s="58">
        <f>A2.7.6!G26/A2.7.6!G$29</f>
        <v>5.7186574316247477E-2</v>
      </c>
      <c r="H26" s="62">
        <f>A2.7.6!H26/A2.7.6!H$29</f>
        <v>4.2721679965284483E-2</v>
      </c>
      <c r="I26" s="58">
        <f>A2.7.6!I26/A2.7.6!I$29</f>
        <v>6.005482871425645E-2</v>
      </c>
      <c r="J26" s="62">
        <f>A2.7.6!J26/A2.7.6!J$29</f>
        <v>5.0455332608588768E-2</v>
      </c>
      <c r="K26" s="59">
        <f>A2.7.6!K26/A2.7.6!K$29</f>
        <v>6.7493232320422286E-2</v>
      </c>
    </row>
    <row r="27" spans="1:11" customFormat="1" ht="13.35" customHeight="1">
      <c r="A27" s="26"/>
      <c r="B27" s="27" t="s">
        <v>42</v>
      </c>
      <c r="C27" s="27" t="s">
        <v>66</v>
      </c>
      <c r="D27" s="62">
        <f>A2.7.6!D27/A2.7.6!D$29</f>
        <v>9.3414109062934809E-3</v>
      </c>
      <c r="E27" s="58">
        <f>A2.7.6!E27/A2.7.6!E$29</f>
        <v>1.3573550647714844E-2</v>
      </c>
      <c r="F27" s="62">
        <f>A2.7.6!F27/A2.7.6!F$29</f>
        <v>9.9977299563731945E-3</v>
      </c>
      <c r="G27" s="58">
        <f>A2.7.6!G27/A2.7.6!G$29</f>
        <v>1.5261649595798302E-2</v>
      </c>
      <c r="H27" s="62">
        <f>A2.7.6!H27/A2.7.6!H$29</f>
        <v>9.6547342456538131E-3</v>
      </c>
      <c r="I27" s="58">
        <f>A2.7.6!I27/A2.7.6!I$29</f>
        <v>1.4351247034166986E-2</v>
      </c>
      <c r="J27" s="62">
        <f>A2.7.6!J27/A2.7.6!J$29</f>
        <v>1.1444772825356591E-2</v>
      </c>
      <c r="K27" s="59">
        <f>A2.7.6!K27/A2.7.6!K$29</f>
        <v>1.646509341725954E-2</v>
      </c>
    </row>
    <row r="28" spans="1:11" customFormat="1" ht="13.35" customHeight="1">
      <c r="A28" s="26"/>
      <c r="B28" s="27" t="s">
        <v>43</v>
      </c>
      <c r="C28" s="27" t="s">
        <v>67</v>
      </c>
      <c r="D28" s="62">
        <f>A2.7.6!D28/A2.7.6!D$29</f>
        <v>1.8584697748445225E-3</v>
      </c>
      <c r="E28" s="58">
        <f>A2.7.6!E28/A2.7.6!E$29</f>
        <v>2.8024108978762208E-3</v>
      </c>
      <c r="F28" s="62">
        <f>A2.7.6!F28/A2.7.6!F$29</f>
        <v>1.5794925403314264E-3</v>
      </c>
      <c r="G28" s="58">
        <f>A2.7.6!G28/A2.7.6!G$29</f>
        <v>2.4214891991585514E-3</v>
      </c>
      <c r="H28" s="62">
        <f>A2.7.6!H28/A2.7.6!H$29</f>
        <v>1.3661968029333783E-3</v>
      </c>
      <c r="I28" s="58">
        <f>A2.7.6!I28/A2.7.6!I$29</f>
        <v>2.1290734883353153E-3</v>
      </c>
      <c r="J28" s="62">
        <f>A2.7.6!J28/A2.7.6!J$29</f>
        <v>1.4831770033815342E-3</v>
      </c>
      <c r="K28" s="59">
        <f>A2.7.6!K28/A2.7.6!K$29</f>
        <v>2.179607234465484E-3</v>
      </c>
    </row>
    <row r="29" spans="1:11" customFormat="1" ht="13.35" customHeight="1">
      <c r="A29" s="88"/>
      <c r="B29" s="75" t="s">
        <v>9</v>
      </c>
      <c r="C29" s="89"/>
      <c r="D29" s="63">
        <f>A2.7.6!D29/A2.7.6!D$29</f>
        <v>1</v>
      </c>
      <c r="E29" s="60">
        <f>A2.7.6!E29/A2.7.6!E$29</f>
        <v>1</v>
      </c>
      <c r="F29" s="63">
        <f>A2.7.6!F29/A2.7.6!F$29</f>
        <v>1</v>
      </c>
      <c r="G29" s="60">
        <f>A2.7.6!G29/A2.7.6!G$29</f>
        <v>1</v>
      </c>
      <c r="H29" s="63">
        <f>A2.7.6!H29/A2.7.6!H$29</f>
        <v>1</v>
      </c>
      <c r="I29" s="60">
        <f>A2.7.6!I29/A2.7.6!I$29</f>
        <v>1</v>
      </c>
      <c r="J29" s="63">
        <f>A2.7.6!J29/A2.7.6!J$29</f>
        <v>1</v>
      </c>
      <c r="K29" s="61">
        <f>A2.7.6!K29/A2.7.6!K$29</f>
        <v>1</v>
      </c>
    </row>
    <row r="30" spans="1:11" s="1" customFormat="1" ht="13.35" customHeight="1"/>
    <row r="31" spans="1:11">
      <c r="F31" s="560" t="s">
        <v>506</v>
      </c>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sheetPr codeName="Sheet32" enableFormatConditionsCalculation="0">
    <pageSetUpPr fitToPage="1"/>
  </sheetPr>
  <dimension ref="A1:K34"/>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9.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445</v>
      </c>
      <c r="B1" s="710"/>
      <c r="C1" s="710"/>
      <c r="D1" s="710"/>
      <c r="E1" s="710"/>
      <c r="F1" s="710"/>
      <c r="G1" s="710"/>
      <c r="H1" s="710"/>
      <c r="I1" s="710"/>
      <c r="J1" s="710"/>
      <c r="K1" s="710"/>
    </row>
    <row r="2" spans="1:11" s="8" customFormat="1" ht="15" customHeight="1">
      <c r="A2" s="90"/>
      <c r="B2" s="91" t="s">
        <v>183</v>
      </c>
      <c r="C2" s="92"/>
      <c r="D2" s="84" t="s">
        <v>467</v>
      </c>
      <c r="E2" s="67"/>
      <c r="F2" s="65" t="s">
        <v>468</v>
      </c>
      <c r="G2" s="67"/>
      <c r="H2" s="65" t="s">
        <v>469</v>
      </c>
      <c r="I2" s="67"/>
      <c r="J2" s="708" t="s">
        <v>470</v>
      </c>
      <c r="K2" s="709"/>
    </row>
    <row r="3" spans="1:11" ht="33.75">
      <c r="A3" s="80"/>
      <c r="B3" s="703" t="s">
        <v>95</v>
      </c>
      <c r="C3" s="702"/>
      <c r="D3" s="32" t="s">
        <v>18</v>
      </c>
      <c r="E3" s="33" t="s">
        <v>98</v>
      </c>
      <c r="F3" s="32" t="s">
        <v>18</v>
      </c>
      <c r="G3" s="33" t="s">
        <v>98</v>
      </c>
      <c r="H3" s="32" t="s">
        <v>18</v>
      </c>
      <c r="I3" s="33" t="s">
        <v>98</v>
      </c>
      <c r="J3" s="32" t="s">
        <v>18</v>
      </c>
      <c r="K3" s="86" t="s">
        <v>98</v>
      </c>
    </row>
    <row r="4" spans="1:11" ht="13.35" customHeight="1">
      <c r="A4" s="49"/>
      <c r="B4" s="16" t="s">
        <v>19</v>
      </c>
      <c r="C4" s="16" t="s">
        <v>44</v>
      </c>
      <c r="D4" s="19">
        <v>915</v>
      </c>
      <c r="E4" s="15">
        <v>31.651184000000001</v>
      </c>
      <c r="F4" s="19">
        <v>1043</v>
      </c>
      <c r="G4" s="15">
        <v>39.864483</v>
      </c>
      <c r="H4" s="19">
        <v>848</v>
      </c>
      <c r="I4" s="15">
        <v>28.630251000000001</v>
      </c>
      <c r="J4" s="19">
        <v>516</v>
      </c>
      <c r="K4" s="24">
        <v>21.471132000000001</v>
      </c>
    </row>
    <row r="5" spans="1:11" ht="13.35" customHeight="1">
      <c r="A5" s="49"/>
      <c r="B5" s="16" t="s">
        <v>20</v>
      </c>
      <c r="C5" s="50" t="s">
        <v>137</v>
      </c>
      <c r="D5" s="19">
        <v>20</v>
      </c>
      <c r="E5" s="15">
        <v>0.54964100000000005</v>
      </c>
      <c r="F5" s="19">
        <v>22</v>
      </c>
      <c r="G5" s="15">
        <v>1.0182629999999999</v>
      </c>
      <c r="H5" s="19">
        <v>19</v>
      </c>
      <c r="I5" s="15">
        <v>0.46240399999999998</v>
      </c>
      <c r="J5" s="19">
        <v>23</v>
      </c>
      <c r="K5" s="24">
        <v>0.68835100000000005</v>
      </c>
    </row>
    <row r="6" spans="1:11" ht="13.35" customHeight="1">
      <c r="A6" s="49"/>
      <c r="B6" s="16" t="s">
        <v>21</v>
      </c>
      <c r="C6" s="16" t="s">
        <v>45</v>
      </c>
      <c r="D6" s="19">
        <v>914</v>
      </c>
      <c r="E6" s="15">
        <v>20.362739999999999</v>
      </c>
      <c r="F6" s="19">
        <v>1002</v>
      </c>
      <c r="G6" s="15">
        <v>20.590111</v>
      </c>
      <c r="H6" s="19">
        <v>898</v>
      </c>
      <c r="I6" s="15">
        <v>20.4178</v>
      </c>
      <c r="J6" s="19">
        <v>580</v>
      </c>
      <c r="K6" s="24">
        <v>13.248568000000001</v>
      </c>
    </row>
    <row r="7" spans="1:11" ht="13.35" customHeight="1">
      <c r="A7" s="49"/>
      <c r="B7" s="16" t="s">
        <v>22</v>
      </c>
      <c r="C7" s="16" t="s">
        <v>46</v>
      </c>
      <c r="D7" s="19">
        <v>750</v>
      </c>
      <c r="E7" s="15">
        <v>16.864892000000001</v>
      </c>
      <c r="F7" s="19">
        <v>783</v>
      </c>
      <c r="G7" s="15">
        <v>17.373550000000002</v>
      </c>
      <c r="H7" s="19">
        <v>671</v>
      </c>
      <c r="I7" s="15">
        <v>15.256145999999999</v>
      </c>
      <c r="J7" s="19">
        <v>527</v>
      </c>
      <c r="K7" s="24">
        <v>12.349099000000001</v>
      </c>
    </row>
    <row r="8" spans="1:11" ht="13.35" customHeight="1">
      <c r="A8" s="49"/>
      <c r="B8" s="16" t="s">
        <v>23</v>
      </c>
      <c r="C8" s="16" t="s">
        <v>47</v>
      </c>
      <c r="D8" s="19">
        <v>1047</v>
      </c>
      <c r="E8" s="15">
        <v>21.801684999999999</v>
      </c>
      <c r="F8" s="19">
        <v>1045</v>
      </c>
      <c r="G8" s="15">
        <v>22.431281999999999</v>
      </c>
      <c r="H8" s="19">
        <v>880</v>
      </c>
      <c r="I8" s="15">
        <v>20.037047999999999</v>
      </c>
      <c r="J8" s="19">
        <v>679</v>
      </c>
      <c r="K8" s="24">
        <v>15.835751</v>
      </c>
    </row>
    <row r="9" spans="1:11" ht="13.35" customHeight="1">
      <c r="A9" s="49"/>
      <c r="B9" s="16" t="s">
        <v>24</v>
      </c>
      <c r="C9" s="16" t="s">
        <v>48</v>
      </c>
      <c r="D9" s="19">
        <v>1487</v>
      </c>
      <c r="E9" s="15">
        <v>31.454519999999999</v>
      </c>
      <c r="F9" s="19">
        <v>1627</v>
      </c>
      <c r="G9" s="15">
        <v>33.886105999999998</v>
      </c>
      <c r="H9" s="19">
        <v>1295</v>
      </c>
      <c r="I9" s="15">
        <v>28.008119000000001</v>
      </c>
      <c r="J9" s="19">
        <v>944</v>
      </c>
      <c r="K9" s="24">
        <v>23.159202000000001</v>
      </c>
    </row>
    <row r="10" spans="1:11" s="51" customFormat="1" ht="13.35" customHeight="1">
      <c r="A10" s="49"/>
      <c r="B10" s="16" t="s">
        <v>25</v>
      </c>
      <c r="C10" s="16" t="s">
        <v>49</v>
      </c>
      <c r="D10" s="19">
        <v>1380</v>
      </c>
      <c r="E10" s="15">
        <v>30.020009000000002</v>
      </c>
      <c r="F10" s="19">
        <v>1669</v>
      </c>
      <c r="G10" s="15">
        <v>35.414132000000002</v>
      </c>
      <c r="H10" s="19">
        <v>1739</v>
      </c>
      <c r="I10" s="15">
        <v>37.727699000000001</v>
      </c>
      <c r="J10" s="19">
        <v>1723</v>
      </c>
      <c r="K10" s="24">
        <v>40.261966999999999</v>
      </c>
    </row>
    <row r="11" spans="1:11" s="1" customFormat="1" ht="13.35" customHeight="1">
      <c r="A11" s="26"/>
      <c r="B11" s="16" t="s">
        <v>26</v>
      </c>
      <c r="C11" s="16" t="s">
        <v>50</v>
      </c>
      <c r="D11" s="19">
        <v>1500</v>
      </c>
      <c r="E11" s="15">
        <v>31.170897</v>
      </c>
      <c r="F11" s="19">
        <v>1571</v>
      </c>
      <c r="G11" s="15">
        <v>32.713206</v>
      </c>
      <c r="H11" s="19">
        <v>1616</v>
      </c>
      <c r="I11" s="15">
        <v>34.738128000000003</v>
      </c>
      <c r="J11" s="19">
        <v>1510</v>
      </c>
      <c r="K11" s="24">
        <v>33.196356000000002</v>
      </c>
    </row>
    <row r="12" spans="1:11" s="1" customFormat="1" ht="13.35" customHeight="1">
      <c r="A12" s="26"/>
      <c r="B12" s="16" t="s">
        <v>27</v>
      </c>
      <c r="C12" s="16" t="s">
        <v>51</v>
      </c>
      <c r="D12" s="19">
        <v>1432</v>
      </c>
      <c r="E12" s="15">
        <v>29.423476000000001</v>
      </c>
      <c r="F12" s="19">
        <v>1585</v>
      </c>
      <c r="G12" s="15">
        <v>34.669758000000002</v>
      </c>
      <c r="H12" s="19">
        <v>1527</v>
      </c>
      <c r="I12" s="15">
        <v>35.141686</v>
      </c>
      <c r="J12" s="19">
        <v>1431</v>
      </c>
      <c r="K12" s="24">
        <v>33.688460999999997</v>
      </c>
    </row>
    <row r="13" spans="1:11" s="1" customFormat="1" ht="13.35" customHeight="1">
      <c r="A13" s="26"/>
      <c r="B13" s="27" t="s">
        <v>28</v>
      </c>
      <c r="C13" s="27" t="s">
        <v>52</v>
      </c>
      <c r="D13" s="19">
        <v>1322</v>
      </c>
      <c r="E13" s="15">
        <v>28.291238</v>
      </c>
      <c r="F13" s="19">
        <v>1388</v>
      </c>
      <c r="G13" s="15">
        <v>32.764443999999997</v>
      </c>
      <c r="H13" s="19">
        <v>1362</v>
      </c>
      <c r="I13" s="15">
        <v>30.057442000000002</v>
      </c>
      <c r="J13" s="19">
        <v>1358</v>
      </c>
      <c r="K13" s="24">
        <v>31.399701</v>
      </c>
    </row>
    <row r="14" spans="1:11" s="1" customFormat="1" ht="13.35" customHeight="1">
      <c r="A14" s="26"/>
      <c r="B14" s="27" t="s">
        <v>29</v>
      </c>
      <c r="C14" s="27" t="s">
        <v>53</v>
      </c>
      <c r="D14" s="19">
        <v>1291</v>
      </c>
      <c r="E14" s="15">
        <v>29.014441000000001</v>
      </c>
      <c r="F14" s="19">
        <v>1394</v>
      </c>
      <c r="G14" s="15">
        <v>32.237704999999998</v>
      </c>
      <c r="H14" s="19">
        <v>1336</v>
      </c>
      <c r="I14" s="15">
        <v>29.714846999999999</v>
      </c>
      <c r="J14" s="19">
        <v>1240</v>
      </c>
      <c r="K14" s="24">
        <v>29.694896</v>
      </c>
    </row>
    <row r="15" spans="1:11" customFormat="1" ht="13.35" customHeight="1">
      <c r="A15" s="26"/>
      <c r="B15" s="27" t="s">
        <v>30</v>
      </c>
      <c r="C15" s="27" t="s">
        <v>54</v>
      </c>
      <c r="D15" s="19">
        <v>1215</v>
      </c>
      <c r="E15" s="15">
        <v>29.230119999999999</v>
      </c>
      <c r="F15" s="19">
        <v>1354</v>
      </c>
      <c r="G15" s="15">
        <v>32.429264000000003</v>
      </c>
      <c r="H15" s="19">
        <v>1246</v>
      </c>
      <c r="I15" s="15">
        <v>28.768469</v>
      </c>
      <c r="J15" s="19">
        <v>1246</v>
      </c>
      <c r="K15" s="24">
        <v>29.525400999999999</v>
      </c>
    </row>
    <row r="16" spans="1:11" customFormat="1" ht="13.35" customHeight="1">
      <c r="A16" s="26"/>
      <c r="B16" s="27" t="s">
        <v>31</v>
      </c>
      <c r="C16" s="27" t="s">
        <v>55</v>
      </c>
      <c r="D16" s="19">
        <v>1121</v>
      </c>
      <c r="E16" s="15">
        <v>25.675750000000001</v>
      </c>
      <c r="F16" s="19">
        <v>1180</v>
      </c>
      <c r="G16" s="15">
        <v>28.199366999999999</v>
      </c>
      <c r="H16" s="19">
        <v>1171</v>
      </c>
      <c r="I16" s="15">
        <v>28.859416</v>
      </c>
      <c r="J16" s="19">
        <v>1155</v>
      </c>
      <c r="K16" s="24">
        <v>28.20167</v>
      </c>
    </row>
    <row r="17" spans="1:11" customFormat="1" ht="13.35" customHeight="1">
      <c r="A17" s="26"/>
      <c r="B17" s="27" t="s">
        <v>32</v>
      </c>
      <c r="C17" s="27" t="s">
        <v>56</v>
      </c>
      <c r="D17" s="19">
        <v>1124</v>
      </c>
      <c r="E17" s="15">
        <v>27.187235999999999</v>
      </c>
      <c r="F17" s="19">
        <v>1211</v>
      </c>
      <c r="G17" s="15">
        <v>29.119062</v>
      </c>
      <c r="H17" s="19">
        <v>1124</v>
      </c>
      <c r="I17" s="15">
        <v>27.297839</v>
      </c>
      <c r="J17" s="19">
        <v>1113</v>
      </c>
      <c r="K17" s="24">
        <v>28.609604999999998</v>
      </c>
    </row>
    <row r="18" spans="1:11" customFormat="1" ht="13.35" customHeight="1">
      <c r="A18" s="26"/>
      <c r="B18" s="27" t="s">
        <v>33</v>
      </c>
      <c r="C18" s="27" t="s">
        <v>57</v>
      </c>
      <c r="D18" s="19">
        <v>1093</v>
      </c>
      <c r="E18" s="15">
        <v>27.865953999999999</v>
      </c>
      <c r="F18" s="19">
        <v>1133</v>
      </c>
      <c r="G18" s="15">
        <v>28.298943000000001</v>
      </c>
      <c r="H18" s="19">
        <v>1032</v>
      </c>
      <c r="I18" s="15">
        <v>26.080822999999999</v>
      </c>
      <c r="J18" s="19">
        <v>1024</v>
      </c>
      <c r="K18" s="24">
        <v>25.889144000000002</v>
      </c>
    </row>
    <row r="19" spans="1:11" customFormat="1" ht="13.35" customHeight="1">
      <c r="A19" s="26"/>
      <c r="B19" s="27" t="s">
        <v>34</v>
      </c>
      <c r="C19" s="27" t="s">
        <v>58</v>
      </c>
      <c r="D19" s="19">
        <v>1035</v>
      </c>
      <c r="E19" s="15">
        <v>27.302413000000001</v>
      </c>
      <c r="F19" s="19">
        <v>1046</v>
      </c>
      <c r="G19" s="15">
        <v>27.524263999999999</v>
      </c>
      <c r="H19" s="19">
        <v>1043</v>
      </c>
      <c r="I19" s="15">
        <v>26.144577999999999</v>
      </c>
      <c r="J19" s="19">
        <v>940</v>
      </c>
      <c r="K19" s="24">
        <v>24.869115000000001</v>
      </c>
    </row>
    <row r="20" spans="1:11" customFormat="1" ht="13.35" customHeight="1">
      <c r="A20" s="26"/>
      <c r="B20" s="27" t="s">
        <v>35</v>
      </c>
      <c r="C20" s="87" t="s">
        <v>59</v>
      </c>
      <c r="D20" s="19">
        <v>4050</v>
      </c>
      <c r="E20" s="15">
        <v>111.11489</v>
      </c>
      <c r="F20" s="19">
        <v>4299</v>
      </c>
      <c r="G20" s="15">
        <v>114.577449</v>
      </c>
      <c r="H20" s="19">
        <v>4219</v>
      </c>
      <c r="I20" s="15">
        <v>111.48226</v>
      </c>
      <c r="J20" s="19">
        <v>4253</v>
      </c>
      <c r="K20" s="24">
        <v>111.755461</v>
      </c>
    </row>
    <row r="21" spans="1:11" customFormat="1" ht="13.35" customHeight="1">
      <c r="A21" s="26"/>
      <c r="B21" s="27" t="s">
        <v>36</v>
      </c>
      <c r="C21" s="27" t="s">
        <v>60</v>
      </c>
      <c r="D21" s="19">
        <v>5047</v>
      </c>
      <c r="E21" s="15">
        <v>163.39754300000001</v>
      </c>
      <c r="F21" s="19">
        <v>5326</v>
      </c>
      <c r="G21" s="15">
        <v>167.53530799999999</v>
      </c>
      <c r="H21" s="19">
        <v>5146</v>
      </c>
      <c r="I21" s="15">
        <v>155.66660300000001</v>
      </c>
      <c r="J21" s="19">
        <v>5495</v>
      </c>
      <c r="K21" s="24">
        <v>162.23004299999999</v>
      </c>
    </row>
    <row r="22" spans="1:11" customFormat="1" ht="13.35" customHeight="1">
      <c r="A22" s="26"/>
      <c r="B22" s="27" t="s">
        <v>37</v>
      </c>
      <c r="C22" s="27" t="s">
        <v>61</v>
      </c>
      <c r="D22" s="19">
        <v>2694</v>
      </c>
      <c r="E22" s="15">
        <v>105.891323</v>
      </c>
      <c r="F22" s="19">
        <v>2939</v>
      </c>
      <c r="G22" s="15">
        <v>112.754575</v>
      </c>
      <c r="H22" s="19">
        <v>2783</v>
      </c>
      <c r="I22" s="15">
        <v>105.52603499999999</v>
      </c>
      <c r="J22" s="19">
        <v>3206</v>
      </c>
      <c r="K22" s="24">
        <v>119.190652</v>
      </c>
    </row>
    <row r="23" spans="1:11" customFormat="1" ht="13.35" customHeight="1">
      <c r="A23" s="26"/>
      <c r="B23" s="27" t="s">
        <v>38</v>
      </c>
      <c r="C23" s="27" t="s">
        <v>62</v>
      </c>
      <c r="D23" s="19">
        <v>1615</v>
      </c>
      <c r="E23" s="15">
        <v>68.586577000000005</v>
      </c>
      <c r="F23" s="19">
        <v>1772</v>
      </c>
      <c r="G23" s="15">
        <v>76.142908000000006</v>
      </c>
      <c r="H23" s="19">
        <v>1730</v>
      </c>
      <c r="I23" s="15">
        <v>75.204803999999996</v>
      </c>
      <c r="J23" s="19">
        <v>1967</v>
      </c>
      <c r="K23" s="24">
        <v>84.933347999999995</v>
      </c>
    </row>
    <row r="24" spans="1:11" customFormat="1" ht="13.35" customHeight="1">
      <c r="A24" s="26"/>
      <c r="B24" s="27" t="s">
        <v>39</v>
      </c>
      <c r="C24" s="27" t="s">
        <v>63</v>
      </c>
      <c r="D24" s="19">
        <v>1792</v>
      </c>
      <c r="E24" s="15">
        <v>93.855992999999998</v>
      </c>
      <c r="F24" s="19">
        <v>2022</v>
      </c>
      <c r="G24" s="15">
        <v>102.68491299999999</v>
      </c>
      <c r="H24" s="19">
        <v>2016</v>
      </c>
      <c r="I24" s="15">
        <v>98.785847000000004</v>
      </c>
      <c r="J24" s="19">
        <v>2409</v>
      </c>
      <c r="K24" s="24">
        <v>120.371887</v>
      </c>
    </row>
    <row r="25" spans="1:11" customFormat="1" ht="13.35" customHeight="1">
      <c r="A25" s="26"/>
      <c r="B25" s="27" t="s">
        <v>40</v>
      </c>
      <c r="C25" s="27" t="s">
        <v>64</v>
      </c>
      <c r="D25" s="19">
        <v>580</v>
      </c>
      <c r="E25" s="15">
        <v>33.567222999999998</v>
      </c>
      <c r="F25" s="19">
        <v>720</v>
      </c>
      <c r="G25" s="15">
        <v>42.224760000000003</v>
      </c>
      <c r="H25" s="19">
        <v>680</v>
      </c>
      <c r="I25" s="15">
        <v>39.810566000000001</v>
      </c>
      <c r="J25" s="19">
        <v>868</v>
      </c>
      <c r="K25" s="24">
        <v>49.995237000000003</v>
      </c>
    </row>
    <row r="26" spans="1:11" customFormat="1" ht="13.35" customHeight="1">
      <c r="A26" s="26"/>
      <c r="B26" s="27" t="s">
        <v>41</v>
      </c>
      <c r="C26" s="27" t="s">
        <v>65</v>
      </c>
      <c r="D26" s="19">
        <v>539</v>
      </c>
      <c r="E26" s="15">
        <v>39.293926999999996</v>
      </c>
      <c r="F26" s="19">
        <v>655</v>
      </c>
      <c r="G26" s="15">
        <v>47.487155999999999</v>
      </c>
      <c r="H26" s="19">
        <v>577</v>
      </c>
      <c r="I26" s="15">
        <v>41.699331000000001</v>
      </c>
      <c r="J26" s="19">
        <v>717</v>
      </c>
      <c r="K26" s="24">
        <v>51.604737</v>
      </c>
    </row>
    <row r="27" spans="1:11" customFormat="1" ht="13.35" customHeight="1">
      <c r="A27" s="26"/>
      <c r="B27" s="27" t="s">
        <v>42</v>
      </c>
      <c r="C27" s="27" t="s">
        <v>66</v>
      </c>
      <c r="D27" s="19">
        <v>134</v>
      </c>
      <c r="E27" s="15">
        <v>10.023472</v>
      </c>
      <c r="F27" s="19">
        <v>122</v>
      </c>
      <c r="G27" s="15">
        <v>9.6046770000000006</v>
      </c>
      <c r="H27" s="19">
        <v>99</v>
      </c>
      <c r="I27" s="15">
        <v>7.6194540000000002</v>
      </c>
      <c r="J27" s="19">
        <v>144</v>
      </c>
      <c r="K27" s="24">
        <v>11.803794</v>
      </c>
    </row>
    <row r="28" spans="1:11" customFormat="1" ht="13.35" customHeight="1">
      <c r="A28" s="26"/>
      <c r="B28" s="27" t="s">
        <v>43</v>
      </c>
      <c r="C28" s="27" t="s">
        <v>67</v>
      </c>
      <c r="D28" s="19">
        <v>20</v>
      </c>
      <c r="E28" s="15">
        <v>2.0397310000000002</v>
      </c>
      <c r="F28" s="19">
        <v>25</v>
      </c>
      <c r="G28" s="15">
        <v>2.4592999999999998</v>
      </c>
      <c r="H28" s="19">
        <v>21</v>
      </c>
      <c r="I28" s="15">
        <v>1.835709</v>
      </c>
      <c r="J28" s="19">
        <v>16</v>
      </c>
      <c r="K28" s="24">
        <v>2.0990540000000002</v>
      </c>
    </row>
    <row r="29" spans="1:11" customFormat="1" ht="13.35" customHeight="1">
      <c r="A29" s="88"/>
      <c r="B29" s="75" t="s">
        <v>9</v>
      </c>
      <c r="C29" s="89"/>
      <c r="D29" s="20">
        <f t="shared" ref="D29:K29" si="0">SUM(D4:D28)</f>
        <v>34117</v>
      </c>
      <c r="E29" s="18">
        <f t="shared" si="0"/>
        <v>1035.6368750000004</v>
      </c>
      <c r="F29" s="20">
        <f t="shared" si="0"/>
        <v>36933</v>
      </c>
      <c r="G29" s="18">
        <f t="shared" si="0"/>
        <v>1124.0049859999999</v>
      </c>
      <c r="H29" s="20">
        <f t="shared" si="0"/>
        <v>35078</v>
      </c>
      <c r="I29" s="18">
        <f t="shared" si="0"/>
        <v>1054.9733039999999</v>
      </c>
      <c r="J29" s="20">
        <f t="shared" si="0"/>
        <v>35084</v>
      </c>
      <c r="K29" s="25">
        <f t="shared" si="0"/>
        <v>1106.0726320000001</v>
      </c>
    </row>
    <row r="30" spans="1:11" s="1" customFormat="1" ht="13.35" customHeight="1"/>
    <row r="31" spans="1:11" customFormat="1" ht="13.35" customHeight="1">
      <c r="F31" s="560" t="s">
        <v>506</v>
      </c>
      <c r="H31" s="1"/>
    </row>
    <row r="32" spans="1:11" customFormat="1" ht="13.35" customHeight="1">
      <c r="H32" s="1"/>
    </row>
    <row r="33" spans="3:11" customFormat="1" ht="13.35" customHeight="1">
      <c r="C33" s="170" t="s">
        <v>257</v>
      </c>
      <c r="D33" s="171">
        <f>A2.7.1!D12-D29</f>
        <v>0</v>
      </c>
      <c r="E33" s="171">
        <f>A2.7.1!E12-E29</f>
        <v>0</v>
      </c>
      <c r="F33" s="171">
        <f>A2.7.1!F12-F29</f>
        <v>0</v>
      </c>
      <c r="G33" s="171">
        <f>A2.7.1!G12-G29</f>
        <v>0</v>
      </c>
      <c r="H33" s="171">
        <f>A2.7.1!H12-H29</f>
        <v>0</v>
      </c>
      <c r="I33" s="171">
        <f>A2.7.1!I12-I29</f>
        <v>0</v>
      </c>
      <c r="J33" s="171">
        <f>A2.7.1!J12-J29</f>
        <v>0</v>
      </c>
      <c r="K33" s="172">
        <f>A2.7.1!K12-K29</f>
        <v>0</v>
      </c>
    </row>
    <row r="34" spans="3:11" customFormat="1" ht="13.35" customHeight="1">
      <c r="H34" s="1"/>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sheetPr codeName="Sheet50" enableFormatConditionsCalculation="0">
    <pageSetUpPr fitToPage="1"/>
  </sheetPr>
  <dimension ref="A1:K3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8.7109375" style="2" customWidth="1"/>
    <col min="4" max="5" width="10.7109375" style="2" customWidth="1"/>
    <col min="6" max="6" width="10.7109375" style="14" customWidth="1"/>
    <col min="7" max="11" width="10.7109375" style="6" customWidth="1"/>
    <col min="12" max="16384" width="9.140625" style="10"/>
  </cols>
  <sheetData>
    <row r="1" spans="1:11" s="8" customFormat="1" ht="27.95" customHeight="1">
      <c r="A1" s="692" t="s">
        <v>502</v>
      </c>
      <c r="B1" s="692"/>
      <c r="C1" s="692"/>
      <c r="D1" s="692"/>
      <c r="E1" s="692"/>
      <c r="F1" s="692"/>
      <c r="G1" s="692"/>
      <c r="H1" s="692"/>
      <c r="I1" s="692"/>
      <c r="J1" s="692"/>
      <c r="K1" s="692"/>
    </row>
    <row r="2" spans="1:11" s="8" customFormat="1" ht="15" customHeight="1">
      <c r="A2" s="90"/>
      <c r="B2" s="91" t="s">
        <v>183</v>
      </c>
      <c r="C2" s="92"/>
      <c r="D2" s="84" t="s">
        <v>467</v>
      </c>
      <c r="E2" s="67"/>
      <c r="F2" s="65" t="s">
        <v>468</v>
      </c>
      <c r="G2" s="67"/>
      <c r="H2" s="65" t="s">
        <v>469</v>
      </c>
      <c r="I2" s="67"/>
      <c r="J2" s="708" t="s">
        <v>470</v>
      </c>
      <c r="K2" s="709"/>
    </row>
    <row r="3" spans="1:11" ht="22.5" customHeight="1">
      <c r="A3" s="80"/>
      <c r="B3" s="703" t="s">
        <v>211</v>
      </c>
      <c r="C3" s="702"/>
      <c r="D3" s="32" t="s">
        <v>18</v>
      </c>
      <c r="E3" s="134" t="s">
        <v>97</v>
      </c>
      <c r="F3" s="32" t="s">
        <v>18</v>
      </c>
      <c r="G3" s="134" t="s">
        <v>97</v>
      </c>
      <c r="H3" s="32" t="s">
        <v>18</v>
      </c>
      <c r="I3" s="134" t="s">
        <v>97</v>
      </c>
      <c r="J3" s="33" t="s">
        <v>18</v>
      </c>
      <c r="K3" s="86" t="s">
        <v>97</v>
      </c>
    </row>
    <row r="4" spans="1:11" ht="13.35" customHeight="1">
      <c r="A4" s="49"/>
      <c r="B4" s="16" t="s">
        <v>19</v>
      </c>
      <c r="C4" s="16" t="s">
        <v>44</v>
      </c>
      <c r="D4" s="62">
        <f>A2.7.7!D4/A2.7.7!D$29</f>
        <v>2.6819474162441011E-2</v>
      </c>
      <c r="E4" s="58">
        <f>A2.7.7!E4/A2.7.7!E$29</f>
        <v>3.0562048111699373E-2</v>
      </c>
      <c r="F4" s="62">
        <f>A2.7.7!F4/A2.7.7!F$29</f>
        <v>2.8240327078764248E-2</v>
      </c>
      <c r="G4" s="58">
        <f>A2.7.7!G4/A2.7.7!G$29</f>
        <v>3.5466464558903656E-2</v>
      </c>
      <c r="H4" s="62">
        <f>A2.7.7!H4/A2.7.7!H$29</f>
        <v>2.417469639090028E-2</v>
      </c>
      <c r="I4" s="58">
        <f>A2.7.7!I4/A2.7.7!I$29</f>
        <v>2.7138365389386198E-2</v>
      </c>
      <c r="J4" s="62">
        <f>A2.7.7!J4/A2.7.7!J$29</f>
        <v>1.4707559001254132E-2</v>
      </c>
      <c r="K4" s="59">
        <f>A2.7.7!K4/A2.7.7!K$29</f>
        <v>1.9412045266119556E-2</v>
      </c>
    </row>
    <row r="5" spans="1:11" ht="13.35" customHeight="1">
      <c r="A5" s="49"/>
      <c r="B5" s="16" t="s">
        <v>20</v>
      </c>
      <c r="C5" s="50" t="s">
        <v>137</v>
      </c>
      <c r="D5" s="62">
        <f>A2.7.7!D5/A2.7.7!D$29</f>
        <v>5.8621801447958496E-4</v>
      </c>
      <c r="E5" s="58">
        <f>A2.7.7!E5/A2.7.7!E$29</f>
        <v>5.3072752937654893E-4</v>
      </c>
      <c r="F5" s="62">
        <f>A2.7.7!F5/A2.7.7!F$29</f>
        <v>5.9567324614843097E-4</v>
      </c>
      <c r="G5" s="58">
        <f>A2.7.7!G5/A2.7.7!G$29</f>
        <v>9.059239173161461E-4</v>
      </c>
      <c r="H5" s="62">
        <f>A2.7.7!H5/A2.7.7!H$29</f>
        <v>5.4165003706026574E-4</v>
      </c>
      <c r="I5" s="58">
        <f>A2.7.7!I5/A2.7.7!I$29</f>
        <v>4.3830872141196857E-4</v>
      </c>
      <c r="J5" s="62">
        <f>A2.7.7!J5/A2.7.7!J$29</f>
        <v>6.5556949036597878E-4</v>
      </c>
      <c r="K5" s="59">
        <f>A2.7.7!K5/A2.7.7!K$29</f>
        <v>6.2233797319017291E-4</v>
      </c>
    </row>
    <row r="6" spans="1:11" ht="13.35" customHeight="1">
      <c r="A6" s="49"/>
      <c r="B6" s="16" t="s">
        <v>21</v>
      </c>
      <c r="C6" s="16" t="s">
        <v>45</v>
      </c>
      <c r="D6" s="62">
        <f>A2.7.7!D6/A2.7.7!D$29</f>
        <v>2.6790163261717032E-2</v>
      </c>
      <c r="E6" s="58">
        <f>A2.7.7!E6/A2.7.7!E$29</f>
        <v>1.9662046120171216E-2</v>
      </c>
      <c r="F6" s="62">
        <f>A2.7.7!F6/A2.7.7!F$29</f>
        <v>2.7130208756396719E-2</v>
      </c>
      <c r="G6" s="58">
        <f>A2.7.7!G6/A2.7.7!G$29</f>
        <v>1.8318522832602453E-2</v>
      </c>
      <c r="H6" s="62">
        <f>A2.7.7!H6/A2.7.7!H$29</f>
        <v>2.5600091225269399E-2</v>
      </c>
      <c r="I6" s="58">
        <f>A2.7.7!I6/A2.7.7!I$29</f>
        <v>1.935385466398494E-2</v>
      </c>
      <c r="J6" s="62">
        <f>A2.7.7!J6/A2.7.7!J$29</f>
        <v>1.653175236575077E-2</v>
      </c>
      <c r="K6" s="59">
        <f>A2.7.7!K6/A2.7.7!K$29</f>
        <v>1.1978027135563372E-2</v>
      </c>
    </row>
    <row r="7" spans="1:11" ht="13.35" customHeight="1">
      <c r="A7" s="49"/>
      <c r="B7" s="16" t="s">
        <v>22</v>
      </c>
      <c r="C7" s="16" t="s">
        <v>46</v>
      </c>
      <c r="D7" s="62">
        <f>A2.7.7!D7/A2.7.7!D$29</f>
        <v>2.1983175542984436E-2</v>
      </c>
      <c r="E7" s="58">
        <f>A2.7.7!E7/A2.7.7!E$29</f>
        <v>1.6284561130560357E-2</v>
      </c>
      <c r="F7" s="62">
        <f>A2.7.7!F7/A2.7.7!F$29</f>
        <v>2.1200552351555518E-2</v>
      </c>
      <c r="G7" s="58">
        <f>A2.7.7!G7/A2.7.7!G$29</f>
        <v>1.5456826452191558E-2</v>
      </c>
      <c r="H7" s="62">
        <f>A2.7.7!H7/A2.7.7!H$29</f>
        <v>1.9128798677233595E-2</v>
      </c>
      <c r="I7" s="58">
        <f>A2.7.7!I7/A2.7.7!I$29</f>
        <v>1.4461167824963277E-2</v>
      </c>
      <c r="J7" s="62">
        <f>A2.7.7!J7/A2.7.7!J$29</f>
        <v>1.5021092235776993E-2</v>
      </c>
      <c r="K7" s="59">
        <f>A2.7.7!K7/A2.7.7!K$29</f>
        <v>1.1164817429457923E-2</v>
      </c>
    </row>
    <row r="8" spans="1:11" ht="13.35" customHeight="1">
      <c r="A8" s="49"/>
      <c r="B8" s="16" t="s">
        <v>23</v>
      </c>
      <c r="C8" s="16" t="s">
        <v>47</v>
      </c>
      <c r="D8" s="62">
        <f>A2.7.7!D8/A2.7.7!D$29</f>
        <v>3.0688513058006274E-2</v>
      </c>
      <c r="E8" s="58">
        <f>A2.7.7!E8/A2.7.7!E$29</f>
        <v>2.1051476174986518E-2</v>
      </c>
      <c r="F8" s="62">
        <f>A2.7.7!F8/A2.7.7!F$29</f>
        <v>2.829447919205047E-2</v>
      </c>
      <c r="G8" s="58">
        <f>A2.7.7!G8/A2.7.7!G$29</f>
        <v>1.9956568057430308E-2</v>
      </c>
      <c r="H8" s="62">
        <f>A2.7.7!H8/A2.7.7!H$29</f>
        <v>2.5086949084896518E-2</v>
      </c>
      <c r="I8" s="58">
        <f>A2.7.7!I8/A2.7.7!I$29</f>
        <v>1.8992943161716253E-2</v>
      </c>
      <c r="J8" s="62">
        <f>A2.7.7!J8/A2.7.7!J$29</f>
        <v>1.9353551476456503E-2</v>
      </c>
      <c r="K8" s="59">
        <f>A2.7.7!K8/A2.7.7!K$29</f>
        <v>1.4317098662287486E-2</v>
      </c>
    </row>
    <row r="9" spans="1:11" ht="13.35" customHeight="1">
      <c r="A9" s="49"/>
      <c r="B9" s="16" t="s">
        <v>24</v>
      </c>
      <c r="C9" s="16" t="s">
        <v>48</v>
      </c>
      <c r="D9" s="62">
        <f>A2.7.7!D9/A2.7.7!D$29</f>
        <v>4.3585309376557142E-2</v>
      </c>
      <c r="E9" s="58">
        <f>A2.7.7!E9/A2.7.7!E$29</f>
        <v>3.0372151435801267E-2</v>
      </c>
      <c r="F9" s="62">
        <f>A2.7.7!F9/A2.7.7!F$29</f>
        <v>4.4052744158340776E-2</v>
      </c>
      <c r="G9" s="58">
        <f>A2.7.7!G9/A2.7.7!G$29</f>
        <v>3.0147647405542738E-2</v>
      </c>
      <c r="H9" s="62">
        <f>A2.7.7!H9/A2.7.7!H$29</f>
        <v>3.6917726210160214E-2</v>
      </c>
      <c r="I9" s="58">
        <f>A2.7.7!I9/A2.7.7!I$29</f>
        <v>2.6548651888920218E-2</v>
      </c>
      <c r="J9" s="62">
        <f>A2.7.7!J9/A2.7.7!J$29</f>
        <v>2.690685212632539E-2</v>
      </c>
      <c r="K9" s="59">
        <f>A2.7.7!K9/A2.7.7!K$29</f>
        <v>2.0938228946252416E-2</v>
      </c>
    </row>
    <row r="10" spans="1:11" s="51" customFormat="1" ht="13.35" customHeight="1">
      <c r="A10" s="49"/>
      <c r="B10" s="16" t="s">
        <v>25</v>
      </c>
      <c r="C10" s="16" t="s">
        <v>49</v>
      </c>
      <c r="D10" s="62">
        <f>A2.7.7!D10/A2.7.7!D$29</f>
        <v>4.0449042999091363E-2</v>
      </c>
      <c r="E10" s="58">
        <f>A2.7.7!E10/A2.7.7!E$29</f>
        <v>2.8987002804433736E-2</v>
      </c>
      <c r="F10" s="62">
        <f>A2.7.7!F10/A2.7.7!F$29</f>
        <v>4.5189938537351419E-2</v>
      </c>
      <c r="G10" s="58">
        <f>A2.7.7!G10/A2.7.7!G$29</f>
        <v>3.1507095111764929E-2</v>
      </c>
      <c r="H10" s="62">
        <f>A2.7.7!H10/A2.7.7!H$29</f>
        <v>4.9575232339358004E-2</v>
      </c>
      <c r="I10" s="58">
        <f>A2.7.7!I10/A2.7.7!I$29</f>
        <v>3.5761757057693286E-2</v>
      </c>
      <c r="J10" s="62">
        <f>A2.7.7!J10/A2.7.7!J$29</f>
        <v>4.9110705734807893E-2</v>
      </c>
      <c r="K10" s="59">
        <f>A2.7.7!K10/A2.7.7!K$29</f>
        <v>3.6400834660557803E-2</v>
      </c>
    </row>
    <row r="11" spans="1:11" s="1" customFormat="1" ht="13.35" customHeight="1">
      <c r="A11" s="26"/>
      <c r="B11" s="16" t="s">
        <v>26</v>
      </c>
      <c r="C11" s="16" t="s">
        <v>50</v>
      </c>
      <c r="D11" s="62">
        <f>A2.7.7!D11/A2.7.7!D$29</f>
        <v>4.3966351085968872E-2</v>
      </c>
      <c r="E11" s="58">
        <f>A2.7.7!E11/A2.7.7!E$29</f>
        <v>3.0098288070323866E-2</v>
      </c>
      <c r="F11" s="62">
        <f>A2.7.7!F11/A2.7.7!F$29</f>
        <v>4.2536484986326589E-2</v>
      </c>
      <c r="G11" s="58">
        <f>A2.7.7!G11/A2.7.7!G$29</f>
        <v>2.9104146696374174E-2</v>
      </c>
      <c r="H11" s="62">
        <f>A2.7.7!H11/A2.7.7!H$29</f>
        <v>4.6068761046809965E-2</v>
      </c>
      <c r="I11" s="58">
        <f>A2.7.7!I11/A2.7.7!I$29</f>
        <v>3.2927968763084459E-2</v>
      </c>
      <c r="J11" s="62">
        <f>A2.7.7!J11/A2.7.7!J$29</f>
        <v>4.303956219359252E-2</v>
      </c>
      <c r="K11" s="59">
        <f>A2.7.7!K11/A2.7.7!K$29</f>
        <v>3.0012817458446975E-2</v>
      </c>
    </row>
    <row r="12" spans="1:11" s="1" customFormat="1" ht="13.35" customHeight="1">
      <c r="A12" s="26"/>
      <c r="B12" s="16" t="s">
        <v>27</v>
      </c>
      <c r="C12" s="16" t="s">
        <v>51</v>
      </c>
      <c r="D12" s="62">
        <f>A2.7.7!D12/A2.7.7!D$29</f>
        <v>4.197320983673828E-2</v>
      </c>
      <c r="E12" s="58">
        <f>A2.7.7!E12/A2.7.7!E$29</f>
        <v>2.8410996856402963E-2</v>
      </c>
      <c r="F12" s="62">
        <f>A2.7.7!F12/A2.7.7!F$29</f>
        <v>4.2915549779330139E-2</v>
      </c>
      <c r="G12" s="58">
        <f>A2.7.7!G12/A2.7.7!G$29</f>
        <v>3.0844843601076342E-2</v>
      </c>
      <c r="H12" s="62">
        <f>A2.7.7!H12/A2.7.7!H$29</f>
        <v>4.3531558241632934E-2</v>
      </c>
      <c r="I12" s="58">
        <f>A2.7.7!I12/A2.7.7!I$29</f>
        <v>3.3310497873982228E-2</v>
      </c>
      <c r="J12" s="62">
        <f>A2.7.7!J12/A2.7.7!J$29</f>
        <v>4.0787823509291984E-2</v>
      </c>
      <c r="K12" s="59">
        <f>A2.7.7!K12/A2.7.7!K$29</f>
        <v>3.0457729470337345E-2</v>
      </c>
    </row>
    <row r="13" spans="1:11" s="1" customFormat="1" ht="13.35" customHeight="1">
      <c r="A13" s="26"/>
      <c r="B13" s="27" t="s">
        <v>28</v>
      </c>
      <c r="C13" s="27" t="s">
        <v>52</v>
      </c>
      <c r="D13" s="62">
        <f>A2.7.7!D13/A2.7.7!D$29</f>
        <v>3.8749010757100563E-2</v>
      </c>
      <c r="E13" s="58">
        <f>A2.7.7!E13/A2.7.7!E$29</f>
        <v>2.7317719833025441E-2</v>
      </c>
      <c r="F13" s="62">
        <f>A2.7.7!F13/A2.7.7!F$29</f>
        <v>3.7581566620637372E-2</v>
      </c>
      <c r="G13" s="58">
        <f>A2.7.7!G13/A2.7.7!G$29</f>
        <v>2.914973190341346E-2</v>
      </c>
      <c r="H13" s="62">
        <f>A2.7.7!H13/A2.7.7!H$29</f>
        <v>3.8827755288214832E-2</v>
      </c>
      <c r="I13" s="58">
        <f>A2.7.7!I13/A2.7.7!I$29</f>
        <v>2.849118729927597E-2</v>
      </c>
      <c r="J13" s="62">
        <f>A2.7.7!J13/A2.7.7!J$29</f>
        <v>3.8707102952913006E-2</v>
      </c>
      <c r="K13" s="59">
        <f>A2.7.7!K13/A2.7.7!K$29</f>
        <v>2.8388462105985817E-2</v>
      </c>
    </row>
    <row r="14" spans="1:11" s="1" customFormat="1" ht="13.35" customHeight="1">
      <c r="A14" s="26"/>
      <c r="B14" s="27" t="s">
        <v>29</v>
      </c>
      <c r="C14" s="27" t="s">
        <v>53</v>
      </c>
      <c r="D14" s="62">
        <f>A2.7.7!D14/A2.7.7!D$29</f>
        <v>3.7840372834657209E-2</v>
      </c>
      <c r="E14" s="58">
        <f>A2.7.7!E14/A2.7.7!E$29</f>
        <v>2.801603699173032E-2</v>
      </c>
      <c r="F14" s="62">
        <f>A2.7.7!F14/A2.7.7!F$29</f>
        <v>3.7744022960496032E-2</v>
      </c>
      <c r="G14" s="58">
        <f>A2.7.7!G14/A2.7.7!G$29</f>
        <v>2.8681104978657099E-2</v>
      </c>
      <c r="H14" s="62">
        <f>A2.7.7!H14/A2.7.7!H$29</f>
        <v>3.8086549974342895E-2</v>
      </c>
      <c r="I14" s="58">
        <f>A2.7.7!I14/A2.7.7!I$29</f>
        <v>2.8166444484741201E-2</v>
      </c>
      <c r="J14" s="62">
        <f>A2.7.7!J14/A2.7.7!J$29</f>
        <v>3.5343746437122334E-2</v>
      </c>
      <c r="K14" s="59">
        <f>A2.7.7!K14/A2.7.7!K$29</f>
        <v>2.6847148316386512E-2</v>
      </c>
    </row>
    <row r="15" spans="1:11" customFormat="1" ht="13.35" customHeight="1">
      <c r="A15" s="26"/>
      <c r="B15" s="27" t="s">
        <v>30</v>
      </c>
      <c r="C15" s="27" t="s">
        <v>54</v>
      </c>
      <c r="D15" s="62">
        <f>A2.7.7!D15/A2.7.7!D$29</f>
        <v>3.5612744379634784E-2</v>
      </c>
      <c r="E15" s="58">
        <f>A2.7.7!E15/A2.7.7!E$29</f>
        <v>2.8224294350275996E-2</v>
      </c>
      <c r="F15" s="62">
        <f>A2.7.7!F15/A2.7.7!F$29</f>
        <v>3.6660980694771611E-2</v>
      </c>
      <c r="G15" s="58">
        <f>A2.7.7!G15/A2.7.7!G$29</f>
        <v>2.8851530379243359E-2</v>
      </c>
      <c r="H15" s="62">
        <f>A2.7.7!H15/A2.7.7!H$29</f>
        <v>3.5520839272478476E-2</v>
      </c>
      <c r="I15" s="58">
        <f>A2.7.7!I15/A2.7.7!I$29</f>
        <v>2.7269381026915541E-2</v>
      </c>
      <c r="J15" s="62">
        <f>A2.7.7!J15/A2.7.7!J$29</f>
        <v>3.5514764565043898E-2</v>
      </c>
      <c r="K15" s="59">
        <f>A2.7.7!K15/A2.7.7!K$29</f>
        <v>2.6693907927739048E-2</v>
      </c>
    </row>
    <row r="16" spans="1:11" customFormat="1" ht="13.35" customHeight="1">
      <c r="A16" s="26"/>
      <c r="B16" s="27" t="s">
        <v>31</v>
      </c>
      <c r="C16" s="27" t="s">
        <v>55</v>
      </c>
      <c r="D16" s="62">
        <f>A2.7.7!D16/A2.7.7!D$29</f>
        <v>3.2857519711580734E-2</v>
      </c>
      <c r="E16" s="58">
        <f>A2.7.7!E16/A2.7.7!E$29</f>
        <v>2.4792232315984299E-2</v>
      </c>
      <c r="F16" s="62">
        <f>A2.7.7!F16/A2.7.7!F$29</f>
        <v>3.1949746838870384E-2</v>
      </c>
      <c r="G16" s="58">
        <f>A2.7.7!G16/A2.7.7!G$29</f>
        <v>2.5088293514028949E-2</v>
      </c>
      <c r="H16" s="62">
        <f>A2.7.7!H16/A2.7.7!H$29</f>
        <v>3.3382747020924794E-2</v>
      </c>
      <c r="I16" s="58">
        <f>A2.7.7!I16/A2.7.7!I$29</f>
        <v>2.7355588895546123E-2</v>
      </c>
      <c r="J16" s="62">
        <f>A2.7.7!J16/A2.7.7!J$29</f>
        <v>3.292098962490024E-2</v>
      </c>
      <c r="K16" s="59">
        <f>A2.7.7!K16/A2.7.7!K$29</f>
        <v>2.5497123049691366E-2</v>
      </c>
    </row>
    <row r="17" spans="1:11" customFormat="1" ht="13.35" customHeight="1">
      <c r="A17" s="26"/>
      <c r="B17" s="27" t="s">
        <v>32</v>
      </c>
      <c r="C17" s="27" t="s">
        <v>56</v>
      </c>
      <c r="D17" s="62">
        <f>A2.7.7!D17/A2.7.7!D$29</f>
        <v>3.2945452413752678E-2</v>
      </c>
      <c r="E17" s="58">
        <f>A2.7.7!E17/A2.7.7!E$29</f>
        <v>2.6251707192253067E-2</v>
      </c>
      <c r="F17" s="62">
        <f>A2.7.7!F17/A2.7.7!F$29</f>
        <v>3.2789104594806814E-2</v>
      </c>
      <c r="G17" s="58">
        <f>A2.7.7!G17/A2.7.7!G$29</f>
        <v>2.5906523870170804E-2</v>
      </c>
      <c r="H17" s="62">
        <f>A2.7.7!H17/A2.7.7!H$29</f>
        <v>3.2042875876617825E-2</v>
      </c>
      <c r="I17" s="58">
        <f>A2.7.7!I17/A2.7.7!I$29</f>
        <v>2.5875383667528333E-2</v>
      </c>
      <c r="J17" s="62">
        <f>A2.7.7!J17/A2.7.7!J$29</f>
        <v>3.1723862729449319E-2</v>
      </c>
      <c r="K17" s="59">
        <f>A2.7.7!K17/A2.7.7!K$29</f>
        <v>2.5865936984868818E-2</v>
      </c>
    </row>
    <row r="18" spans="1:11" customFormat="1" ht="13.35" customHeight="1">
      <c r="A18" s="26"/>
      <c r="B18" s="27" t="s">
        <v>33</v>
      </c>
      <c r="C18" s="27" t="s">
        <v>57</v>
      </c>
      <c r="D18" s="62">
        <f>A2.7.7!D18/A2.7.7!D$29</f>
        <v>3.2036814491309316E-2</v>
      </c>
      <c r="E18" s="58">
        <f>A2.7.7!E18/A2.7.7!E$29</f>
        <v>2.690707010601567E-2</v>
      </c>
      <c r="F18" s="62">
        <f>A2.7.7!F18/A2.7.7!F$29</f>
        <v>3.0677172176644195E-2</v>
      </c>
      <c r="G18" s="58">
        <f>A2.7.7!G18/A2.7.7!G$29</f>
        <v>2.5176883868378144E-2</v>
      </c>
      <c r="H18" s="62">
        <f>A2.7.7!H18/A2.7.7!H$29</f>
        <v>2.9420149381378644E-2</v>
      </c>
      <c r="I18" s="58">
        <f>A2.7.7!I18/A2.7.7!I$29</f>
        <v>2.4721784808310183E-2</v>
      </c>
      <c r="J18" s="62">
        <f>A2.7.7!J18/A2.7.7!J$29</f>
        <v>2.9187093831946186E-2</v>
      </c>
      <c r="K18" s="59">
        <f>A2.7.7!K18/A2.7.7!K$29</f>
        <v>2.340636885046804E-2</v>
      </c>
    </row>
    <row r="19" spans="1:11" customFormat="1" ht="13.35" customHeight="1">
      <c r="A19" s="26"/>
      <c r="B19" s="27" t="s">
        <v>34</v>
      </c>
      <c r="C19" s="27" t="s">
        <v>58</v>
      </c>
      <c r="D19" s="62">
        <f>A2.7.7!D19/A2.7.7!D$29</f>
        <v>3.033678224931852E-2</v>
      </c>
      <c r="E19" s="58">
        <f>A2.7.7!E19/A2.7.7!E$29</f>
        <v>2.636292088382812E-2</v>
      </c>
      <c r="F19" s="62">
        <f>A2.7.7!F19/A2.7.7!F$29</f>
        <v>2.8321555248693581E-2</v>
      </c>
      <c r="G19" s="58">
        <f>A2.7.7!G19/A2.7.7!G$29</f>
        <v>2.4487670733517548E-2</v>
      </c>
      <c r="H19" s="62">
        <f>A2.7.7!H19/A2.7.7!H$29</f>
        <v>2.973373624493985E-2</v>
      </c>
      <c r="I19" s="58">
        <f>A2.7.7!I19/A2.7.7!I$29</f>
        <v>2.478221761713887E-2</v>
      </c>
      <c r="J19" s="62">
        <f>A2.7.7!J19/A2.7.7!J$29</f>
        <v>2.679284004104435E-2</v>
      </c>
      <c r="K19" s="59">
        <f>A2.7.7!K19/A2.7.7!K$29</f>
        <v>2.248416087742057E-2</v>
      </c>
    </row>
    <row r="20" spans="1:11" customFormat="1" ht="13.35" customHeight="1">
      <c r="A20" s="26"/>
      <c r="B20" s="27" t="s">
        <v>35</v>
      </c>
      <c r="C20" s="87" t="s">
        <v>59</v>
      </c>
      <c r="D20" s="62">
        <f>A2.7.7!D20/A2.7.7!D$29</f>
        <v>0.11870914793211595</v>
      </c>
      <c r="E20" s="58">
        <f>A2.7.7!E20/A2.7.7!E$29</f>
        <v>0.10729136117328766</v>
      </c>
      <c r="F20" s="62">
        <f>A2.7.7!F20/A2.7.7!F$29</f>
        <v>0.11639996750873202</v>
      </c>
      <c r="G20" s="58">
        <f>A2.7.7!G20/A2.7.7!G$29</f>
        <v>0.10193678002065376</v>
      </c>
      <c r="H20" s="62">
        <f>A2.7.7!H20/A2.7.7!H$29</f>
        <v>0.12027481612406636</v>
      </c>
      <c r="I20" s="58">
        <f>A2.7.7!I20/A2.7.7!I$29</f>
        <v>0.10567306260481452</v>
      </c>
      <c r="J20" s="62">
        <f>A2.7.7!J20/A2.7.7!J$29</f>
        <v>0.12122334967506555</v>
      </c>
      <c r="K20" s="59">
        <f>A2.7.7!K20/A2.7.7!K$29</f>
        <v>0.10103808535423557</v>
      </c>
    </row>
    <row r="21" spans="1:11" customFormat="1" ht="13.35" customHeight="1">
      <c r="A21" s="26"/>
      <c r="B21" s="27" t="s">
        <v>36</v>
      </c>
      <c r="C21" s="27" t="s">
        <v>60</v>
      </c>
      <c r="D21" s="62">
        <f>A2.7.7!D21/A2.7.7!D$29</f>
        <v>0.14793211595392328</v>
      </c>
      <c r="E21" s="58">
        <f>A2.7.7!E21/A2.7.7!E$29</f>
        <v>0.15777493728195024</v>
      </c>
      <c r="F21" s="62">
        <f>A2.7.7!F21/A2.7.7!F$29</f>
        <v>0.1442070776812065</v>
      </c>
      <c r="G21" s="58">
        <f>A2.7.7!G21/A2.7.7!G$29</f>
        <v>0.14905210393790905</v>
      </c>
      <c r="H21" s="62">
        <f>A2.7.7!H21/A2.7.7!H$29</f>
        <v>0.14670163635326985</v>
      </c>
      <c r="I21" s="58">
        <f>A2.7.7!I21/A2.7.7!I$29</f>
        <v>0.14755501623574735</v>
      </c>
      <c r="J21" s="62">
        <f>A2.7.7!J21/A2.7.7!J$29</f>
        <v>0.15662410215482842</v>
      </c>
      <c r="K21" s="59">
        <f>A2.7.7!K21/A2.7.7!K$29</f>
        <v>0.14667214277479743</v>
      </c>
    </row>
    <row r="22" spans="1:11" customFormat="1" ht="13.35" customHeight="1">
      <c r="A22" s="26"/>
      <c r="B22" s="27" t="s">
        <v>37</v>
      </c>
      <c r="C22" s="27" t="s">
        <v>61</v>
      </c>
      <c r="D22" s="62">
        <f>A2.7.7!D22/A2.7.7!D$29</f>
        <v>7.8963566550400099E-2</v>
      </c>
      <c r="E22" s="58">
        <f>A2.7.7!E22/A2.7.7!E$29</f>
        <v>0.10224754019115045</v>
      </c>
      <c r="F22" s="62">
        <f>A2.7.7!F22/A2.7.7!F$29</f>
        <v>7.957653047410175E-2</v>
      </c>
      <c r="G22" s="58">
        <f>A2.7.7!G22/A2.7.7!G$29</f>
        <v>0.10031501319336675</v>
      </c>
      <c r="H22" s="62">
        <f>A2.7.7!H22/A2.7.7!H$29</f>
        <v>7.9337476480985228E-2</v>
      </c>
      <c r="I22" s="58">
        <f>A2.7.7!I22/A2.7.7!I$29</f>
        <v>0.10002720884015849</v>
      </c>
      <c r="J22" s="62">
        <f>A2.7.7!J22/A2.7.7!J$29</f>
        <v>9.1380686352753399E-2</v>
      </c>
      <c r="K22" s="59">
        <f>A2.7.7!K22/A2.7.7!K$29</f>
        <v>0.10776023974526837</v>
      </c>
    </row>
    <row r="23" spans="1:11" customFormat="1" ht="13.35" customHeight="1">
      <c r="A23" s="26"/>
      <c r="B23" s="27" t="s">
        <v>38</v>
      </c>
      <c r="C23" s="27" t="s">
        <v>62</v>
      </c>
      <c r="D23" s="62">
        <f>A2.7.7!D23/A2.7.7!D$29</f>
        <v>4.7337104669226485E-2</v>
      </c>
      <c r="E23" s="58">
        <f>A2.7.7!E23/A2.7.7!E$29</f>
        <v>6.6226472478589551E-2</v>
      </c>
      <c r="F23" s="62">
        <f>A2.7.7!F23/A2.7.7!F$29</f>
        <v>4.7978772371591802E-2</v>
      </c>
      <c r="G23" s="58">
        <f>A2.7.7!G23/A2.7.7!G$29</f>
        <v>6.7742500209870077E-2</v>
      </c>
      <c r="H23" s="62">
        <f>A2.7.7!H23/A2.7.7!H$29</f>
        <v>4.931866126917156E-2</v>
      </c>
      <c r="I23" s="58">
        <f>A2.7.7!I23/A2.7.7!I$29</f>
        <v>7.1285978246896003E-2</v>
      </c>
      <c r="J23" s="62">
        <f>A2.7.7!J23/A2.7.7!J$29</f>
        <v>5.6065442936951315E-2</v>
      </c>
      <c r="K23" s="59">
        <f>A2.7.7!K23/A2.7.7!K$29</f>
        <v>7.6788219455736412E-2</v>
      </c>
    </row>
    <row r="24" spans="1:11" customFormat="1" ht="13.35" customHeight="1">
      <c r="A24" s="26"/>
      <c r="B24" s="27" t="s">
        <v>39</v>
      </c>
      <c r="C24" s="27" t="s">
        <v>63</v>
      </c>
      <c r="D24" s="62">
        <f>A2.7.7!D24/A2.7.7!D$29</f>
        <v>5.2525134097370814E-2</v>
      </c>
      <c r="E24" s="58">
        <f>A2.7.7!E24/A2.7.7!E$29</f>
        <v>9.062635298689993E-2</v>
      </c>
      <c r="F24" s="62">
        <f>A2.7.7!F24/A2.7.7!F$29</f>
        <v>5.4747786532369426E-2</v>
      </c>
      <c r="G24" s="58">
        <f>A2.7.7!G24/A2.7.7!G$29</f>
        <v>9.1356278912449601E-2</v>
      </c>
      <c r="H24" s="62">
        <f>A2.7.7!H24/A2.7.7!H$29</f>
        <v>5.747191972176293E-2</v>
      </c>
      <c r="I24" s="58">
        <f>A2.7.7!I24/A2.7.7!I$29</f>
        <v>9.3638243380611663E-2</v>
      </c>
      <c r="J24" s="62">
        <f>A2.7.7!J24/A2.7.7!J$29</f>
        <v>6.8663778360506217E-2</v>
      </c>
      <c r="K24" s="59">
        <f>A2.7.7!K24/A2.7.7!K$29</f>
        <v>0.10882819402406115</v>
      </c>
    </row>
    <row r="25" spans="1:11" customFormat="1" ht="13.35" customHeight="1">
      <c r="A25" s="26"/>
      <c r="B25" s="27" t="s">
        <v>40</v>
      </c>
      <c r="C25" s="27" t="s">
        <v>64</v>
      </c>
      <c r="D25" s="62">
        <f>A2.7.7!D25/A2.7.7!D$29</f>
        <v>1.7000322419907964E-2</v>
      </c>
      <c r="E25" s="58">
        <f>A2.7.7!E25/A2.7.7!E$29</f>
        <v>3.2412155080901291E-2</v>
      </c>
      <c r="F25" s="62">
        <f>A2.7.7!F25/A2.7.7!F$29</f>
        <v>1.9494760783039557E-2</v>
      </c>
      <c r="G25" s="58">
        <f>A2.7.7!G25/A2.7.7!G$29</f>
        <v>3.7566345813345003E-2</v>
      </c>
      <c r="H25" s="62">
        <f>A2.7.7!H25/A2.7.7!H$29</f>
        <v>1.9385369747420035E-2</v>
      </c>
      <c r="I25" s="58">
        <f>A2.7.7!I25/A2.7.7!I$29</f>
        <v>3.7736088533288616E-2</v>
      </c>
      <c r="J25" s="62">
        <f>A2.7.7!J25/A2.7.7!J$29</f>
        <v>2.4740622505985636E-2</v>
      </c>
      <c r="K25" s="59">
        <f>A2.7.7!K25/A2.7.7!K$29</f>
        <v>4.5200681721596019E-2</v>
      </c>
    </row>
    <row r="26" spans="1:11" customFormat="1" ht="13.35" customHeight="1">
      <c r="A26" s="26"/>
      <c r="B26" s="27" t="s">
        <v>41</v>
      </c>
      <c r="C26" s="27" t="s">
        <v>65</v>
      </c>
      <c r="D26" s="62">
        <f>A2.7.7!D26/A2.7.7!D$29</f>
        <v>1.5798575490224814E-2</v>
      </c>
      <c r="E26" s="58">
        <f>A2.7.7!E26/A2.7.7!E$29</f>
        <v>3.794179982245223E-2</v>
      </c>
      <c r="F26" s="62">
        <f>A2.7.7!F26/A2.7.7!F$29</f>
        <v>1.7734817101237376E-2</v>
      </c>
      <c r="G26" s="58">
        <f>A2.7.7!G26/A2.7.7!G$29</f>
        <v>4.224817202011949E-2</v>
      </c>
      <c r="H26" s="62">
        <f>A2.7.7!H26/A2.7.7!H$29</f>
        <v>1.6449056388619647E-2</v>
      </c>
      <c r="I26" s="58">
        <f>A2.7.7!I26/A2.7.7!I$29</f>
        <v>3.9526432414824411E-2</v>
      </c>
      <c r="J26" s="62">
        <f>A2.7.7!J26/A2.7.7!J$29</f>
        <v>2.0436666286626382E-2</v>
      </c>
      <c r="K26" s="59">
        <f>A2.7.7!K26/A2.7.7!K$29</f>
        <v>4.6655830283666211E-2</v>
      </c>
    </row>
    <row r="27" spans="1:11" customFormat="1" ht="13.35" customHeight="1">
      <c r="A27" s="26"/>
      <c r="B27" s="27" t="s">
        <v>42</v>
      </c>
      <c r="C27" s="27" t="s">
        <v>66</v>
      </c>
      <c r="D27" s="62">
        <f>A2.7.7!D27/A2.7.7!D$29</f>
        <v>3.9276606970132192E-3</v>
      </c>
      <c r="E27" s="58">
        <f>A2.7.7!E27/A2.7.7!E$29</f>
        <v>9.6785584232890482E-3</v>
      </c>
      <c r="F27" s="62">
        <f>A2.7.7!F27/A2.7.7!F$29</f>
        <v>3.3032789104594806E-3</v>
      </c>
      <c r="G27" s="58">
        <f>A2.7.7!G27/A2.7.7!G$29</f>
        <v>8.5450483935842619E-3</v>
      </c>
      <c r="H27" s="62">
        <f>A2.7.7!H27/A2.7.7!H$29</f>
        <v>2.822281772050858E-3</v>
      </c>
      <c r="I27" s="58">
        <f>A2.7.7!I27/A2.7.7!I$29</f>
        <v>7.222414037502508E-3</v>
      </c>
      <c r="J27" s="62">
        <f>A2.7.7!J27/A2.7.7!J$29</f>
        <v>4.1044350701174327E-3</v>
      </c>
      <c r="K27" s="59">
        <f>A2.7.7!K27/A2.7.7!K$29</f>
        <v>1.0671807310390082E-2</v>
      </c>
    </row>
    <row r="28" spans="1:11" customFormat="1" ht="13.35" customHeight="1">
      <c r="A28" s="26"/>
      <c r="B28" s="27" t="s">
        <v>43</v>
      </c>
      <c r="C28" s="27" t="s">
        <v>67</v>
      </c>
      <c r="D28" s="62">
        <f>A2.7.7!D28/A2.7.7!D$29</f>
        <v>5.8621801447958496E-4</v>
      </c>
      <c r="E28" s="58">
        <f>A2.7.7!E28/A2.7.7!E$29</f>
        <v>1.9695426546104777E-3</v>
      </c>
      <c r="F28" s="62">
        <f>A2.7.7!F28/A2.7.7!F$29</f>
        <v>6.7690141607776246E-4</v>
      </c>
      <c r="G28" s="58">
        <f>A2.7.7!G28/A2.7.7!G$29</f>
        <v>2.1879796180904131E-3</v>
      </c>
      <c r="H28" s="62">
        <f>A2.7.7!H28/A2.7.7!H$29</f>
        <v>5.9866583043503049E-4</v>
      </c>
      <c r="I28" s="58">
        <f>A2.7.7!I28/A2.7.7!I$29</f>
        <v>1.7400525615575201E-3</v>
      </c>
      <c r="J28" s="62">
        <f>A2.7.7!J28/A2.7.7!J$29</f>
        <v>4.5604834112415916E-4</v>
      </c>
      <c r="K28" s="59">
        <f>A2.7.7!K28/A2.7.7!K$29</f>
        <v>1.8977542154754263E-3</v>
      </c>
    </row>
    <row r="29" spans="1:11" customFormat="1" ht="13.35" customHeight="1">
      <c r="A29" s="88"/>
      <c r="B29" s="75" t="s">
        <v>9</v>
      </c>
      <c r="C29" s="89"/>
      <c r="D29" s="63">
        <f>A2.7.7!D29/A2.7.7!D$29</f>
        <v>1</v>
      </c>
      <c r="E29" s="60">
        <f>A2.7.7!E29/A2.7.7!E$29</f>
        <v>1</v>
      </c>
      <c r="F29" s="63">
        <f>A2.7.7!F29/A2.7.7!F$29</f>
        <v>1</v>
      </c>
      <c r="G29" s="60">
        <f>A2.7.7!G29/A2.7.7!G$29</f>
        <v>1</v>
      </c>
      <c r="H29" s="63">
        <f>A2.7.7!H29/A2.7.7!H$29</f>
        <v>1</v>
      </c>
      <c r="I29" s="60">
        <f>A2.7.7!I29/A2.7.7!I$29</f>
        <v>1</v>
      </c>
      <c r="J29" s="63">
        <f>A2.7.7!J29/A2.7.7!J$29</f>
        <v>1</v>
      </c>
      <c r="K29" s="61">
        <f>A2.7.7!K29/A2.7.7!K$29</f>
        <v>1</v>
      </c>
    </row>
    <row r="30" spans="1:11" s="1" customFormat="1" ht="13.35" customHeight="1"/>
    <row r="31" spans="1:11">
      <c r="F31" s="560" t="s">
        <v>506</v>
      </c>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sheetPr codeName="Sheet37" enableFormatConditionsCalculation="0">
    <pageSetUpPr fitToPage="1"/>
  </sheetPr>
  <dimension ref="A1:K34"/>
  <sheetViews>
    <sheetView showGridLines="0" zoomScaleNormal="100" zoomScaleSheetLayoutView="90" workbookViewId="0"/>
  </sheetViews>
  <sheetFormatPr defaultColWidth="9.140625" defaultRowHeight="12.75"/>
  <cols>
    <col min="1" max="1" width="0.85546875" customWidth="1"/>
    <col min="2" max="2" width="2.7109375" style="427" customWidth="1"/>
    <col min="3" max="3" width="18.7109375" style="427" customWidth="1"/>
    <col min="4" max="5" width="10.7109375" style="427" customWidth="1"/>
    <col min="6" max="6" width="10.7109375" style="428" customWidth="1"/>
    <col min="7" max="11" width="10.7109375" style="429" customWidth="1"/>
    <col min="12" max="16384" width="9.140625" style="421"/>
  </cols>
  <sheetData>
    <row r="1" spans="1:11" s="410" customFormat="1" ht="15" customHeight="1">
      <c r="A1" s="53" t="s">
        <v>446</v>
      </c>
      <c r="B1" s="455"/>
      <c r="C1" s="455"/>
      <c r="D1" s="416"/>
      <c r="E1" s="416"/>
      <c r="F1" s="417"/>
      <c r="G1" s="418"/>
      <c r="H1" s="419"/>
      <c r="I1" s="419"/>
      <c r="J1" s="419"/>
      <c r="K1" s="419"/>
    </row>
    <row r="2" spans="1:11" s="410" customFormat="1" ht="15" customHeight="1">
      <c r="A2" s="90"/>
      <c r="B2" s="91" t="s">
        <v>183</v>
      </c>
      <c r="C2" s="92"/>
      <c r="D2" s="84" t="s">
        <v>467</v>
      </c>
      <c r="E2" s="67"/>
      <c r="F2" s="65" t="s">
        <v>468</v>
      </c>
      <c r="G2" s="67"/>
      <c r="H2" s="65" t="s">
        <v>469</v>
      </c>
      <c r="I2" s="67"/>
      <c r="J2" s="708" t="s">
        <v>470</v>
      </c>
      <c r="K2" s="709"/>
    </row>
    <row r="3" spans="1:11" ht="33.75">
      <c r="A3" s="420"/>
      <c r="B3" s="703" t="s">
        <v>95</v>
      </c>
      <c r="C3" s="702"/>
      <c r="D3" s="32" t="s">
        <v>18</v>
      </c>
      <c r="E3" s="33" t="s">
        <v>98</v>
      </c>
      <c r="F3" s="32" t="s">
        <v>18</v>
      </c>
      <c r="G3" s="33" t="s">
        <v>98</v>
      </c>
      <c r="H3" s="32" t="s">
        <v>18</v>
      </c>
      <c r="I3" s="33" t="s">
        <v>98</v>
      </c>
      <c r="J3" s="32" t="s">
        <v>18</v>
      </c>
      <c r="K3" s="86" t="s">
        <v>98</v>
      </c>
    </row>
    <row r="4" spans="1:11" ht="13.35" customHeight="1">
      <c r="A4" s="422"/>
      <c r="B4" s="315" t="s">
        <v>19</v>
      </c>
      <c r="C4" s="315" t="s">
        <v>44</v>
      </c>
      <c r="D4" s="423">
        <v>2388</v>
      </c>
      <c r="E4" s="424">
        <v>183.973084</v>
      </c>
      <c r="F4" s="423">
        <v>2258</v>
      </c>
      <c r="G4" s="424">
        <v>225.98575099999999</v>
      </c>
      <c r="H4" s="423">
        <v>1783</v>
      </c>
      <c r="I4" s="424">
        <v>143.821066</v>
      </c>
      <c r="J4" s="423">
        <v>564</v>
      </c>
      <c r="K4" s="425">
        <v>57.836008</v>
      </c>
    </row>
    <row r="5" spans="1:11" ht="13.35" customHeight="1">
      <c r="A5" s="422"/>
      <c r="B5" s="315" t="s">
        <v>20</v>
      </c>
      <c r="C5" s="445" t="s">
        <v>137</v>
      </c>
      <c r="D5" s="423">
        <v>308</v>
      </c>
      <c r="E5" s="424">
        <v>32.067757999999998</v>
      </c>
      <c r="F5" s="423">
        <v>68</v>
      </c>
      <c r="G5" s="424">
        <v>13.084629</v>
      </c>
      <c r="H5" s="423">
        <v>77</v>
      </c>
      <c r="I5" s="424">
        <v>17.634357999999999</v>
      </c>
      <c r="J5" s="423">
        <v>34</v>
      </c>
      <c r="K5" s="425">
        <v>10.027322</v>
      </c>
    </row>
    <row r="6" spans="1:11" ht="13.35" customHeight="1">
      <c r="A6" s="422"/>
      <c r="B6" s="315" t="s">
        <v>21</v>
      </c>
      <c r="C6" s="315" t="s">
        <v>45</v>
      </c>
      <c r="D6" s="423">
        <v>2338</v>
      </c>
      <c r="E6" s="424">
        <v>61.385275</v>
      </c>
      <c r="F6" s="423">
        <v>2038</v>
      </c>
      <c r="G6" s="424">
        <v>58.973266000000002</v>
      </c>
      <c r="H6" s="423">
        <v>1758</v>
      </c>
      <c r="I6" s="424">
        <v>53.072353</v>
      </c>
      <c r="J6" s="423">
        <v>666</v>
      </c>
      <c r="K6" s="425">
        <v>22.081303999999999</v>
      </c>
    </row>
    <row r="7" spans="1:11" ht="13.35" customHeight="1">
      <c r="A7" s="422"/>
      <c r="B7" s="315" t="s">
        <v>22</v>
      </c>
      <c r="C7" s="315" t="s">
        <v>46</v>
      </c>
      <c r="D7" s="423">
        <v>1849</v>
      </c>
      <c r="E7" s="424">
        <v>50.082743999999998</v>
      </c>
      <c r="F7" s="423">
        <v>1753</v>
      </c>
      <c r="G7" s="424">
        <v>50.010689999999997</v>
      </c>
      <c r="H7" s="423">
        <v>1352</v>
      </c>
      <c r="I7" s="424">
        <v>35.504243000000002</v>
      </c>
      <c r="J7" s="423">
        <v>589</v>
      </c>
      <c r="K7" s="425">
        <v>17.958417000000001</v>
      </c>
    </row>
    <row r="8" spans="1:11" ht="13.35" customHeight="1">
      <c r="A8" s="422"/>
      <c r="B8" s="315" t="s">
        <v>23</v>
      </c>
      <c r="C8" s="315" t="s">
        <v>47</v>
      </c>
      <c r="D8" s="423">
        <v>2938</v>
      </c>
      <c r="E8" s="424">
        <v>75.958218000000002</v>
      </c>
      <c r="F8" s="423">
        <v>2443</v>
      </c>
      <c r="G8" s="424">
        <v>61.969211999999999</v>
      </c>
      <c r="H8" s="423">
        <v>1782</v>
      </c>
      <c r="I8" s="424">
        <v>51.368127999999999</v>
      </c>
      <c r="J8" s="423">
        <v>789</v>
      </c>
      <c r="K8" s="425">
        <v>23.629715000000001</v>
      </c>
    </row>
    <row r="9" spans="1:11" ht="13.35" customHeight="1">
      <c r="A9" s="422"/>
      <c r="B9" s="315" t="s">
        <v>24</v>
      </c>
      <c r="C9" s="315" t="s">
        <v>48</v>
      </c>
      <c r="D9" s="423">
        <v>4248</v>
      </c>
      <c r="E9" s="424">
        <v>106.31058400000001</v>
      </c>
      <c r="F9" s="423">
        <v>3964</v>
      </c>
      <c r="G9" s="424">
        <v>98.532122000000001</v>
      </c>
      <c r="H9" s="423">
        <v>2695</v>
      </c>
      <c r="I9" s="424">
        <v>69.688472000000004</v>
      </c>
      <c r="J9" s="423">
        <v>1114</v>
      </c>
      <c r="K9" s="425">
        <v>35.030506000000003</v>
      </c>
    </row>
    <row r="10" spans="1:11" s="426" customFormat="1" ht="13.35" customHeight="1">
      <c r="A10" s="422"/>
      <c r="B10" s="315" t="s">
        <v>25</v>
      </c>
      <c r="C10" s="315" t="s">
        <v>49</v>
      </c>
      <c r="D10" s="423">
        <v>4098</v>
      </c>
      <c r="E10" s="424">
        <v>95.866823999999994</v>
      </c>
      <c r="F10" s="423">
        <v>4183</v>
      </c>
      <c r="G10" s="424">
        <v>92.949995000000001</v>
      </c>
      <c r="H10" s="423">
        <v>4049</v>
      </c>
      <c r="I10" s="424">
        <v>104.818365</v>
      </c>
      <c r="J10" s="423">
        <v>1990</v>
      </c>
      <c r="K10" s="425">
        <v>60.688023999999999</v>
      </c>
    </row>
    <row r="11" spans="1:11" s="1" customFormat="1" ht="13.35" customHeight="1">
      <c r="A11" s="26"/>
      <c r="B11" s="315" t="s">
        <v>26</v>
      </c>
      <c r="C11" s="315" t="s">
        <v>50</v>
      </c>
      <c r="D11" s="423">
        <v>4289</v>
      </c>
      <c r="E11" s="424">
        <v>102.77432399999999</v>
      </c>
      <c r="F11" s="423">
        <v>4246</v>
      </c>
      <c r="G11" s="424">
        <v>99.800460000000001</v>
      </c>
      <c r="H11" s="423">
        <v>3839</v>
      </c>
      <c r="I11" s="424">
        <v>89.208337</v>
      </c>
      <c r="J11" s="423">
        <v>1840</v>
      </c>
      <c r="K11" s="425">
        <v>56.811909999999997</v>
      </c>
    </row>
    <row r="12" spans="1:11" s="1" customFormat="1" ht="13.35" customHeight="1">
      <c r="A12" s="26"/>
      <c r="B12" s="315" t="s">
        <v>27</v>
      </c>
      <c r="C12" s="315" t="s">
        <v>51</v>
      </c>
      <c r="D12" s="423">
        <v>4456</v>
      </c>
      <c r="E12" s="424">
        <v>111.737965</v>
      </c>
      <c r="F12" s="423">
        <v>4463</v>
      </c>
      <c r="G12" s="424">
        <v>114.361964</v>
      </c>
      <c r="H12" s="423">
        <v>3704</v>
      </c>
      <c r="I12" s="424">
        <v>89.220209999999994</v>
      </c>
      <c r="J12" s="423">
        <v>1628</v>
      </c>
      <c r="K12" s="425">
        <v>51.246859999999998</v>
      </c>
    </row>
    <row r="13" spans="1:11" s="1" customFormat="1" ht="13.35" customHeight="1">
      <c r="A13" s="26"/>
      <c r="B13" s="246" t="s">
        <v>28</v>
      </c>
      <c r="C13" s="246" t="s">
        <v>52</v>
      </c>
      <c r="D13" s="423">
        <v>4767</v>
      </c>
      <c r="E13" s="424">
        <v>118.758449</v>
      </c>
      <c r="F13" s="423">
        <v>4470</v>
      </c>
      <c r="G13" s="424">
        <v>105.645618</v>
      </c>
      <c r="H13" s="423">
        <v>3677</v>
      </c>
      <c r="I13" s="424">
        <v>85.087823</v>
      </c>
      <c r="J13" s="423">
        <v>1515</v>
      </c>
      <c r="K13" s="425">
        <v>49.489485999999999</v>
      </c>
    </row>
    <row r="14" spans="1:11" s="1" customFormat="1" ht="13.35" customHeight="1">
      <c r="A14" s="26"/>
      <c r="B14" s="246" t="s">
        <v>29</v>
      </c>
      <c r="C14" s="246" t="s">
        <v>53</v>
      </c>
      <c r="D14" s="423">
        <v>4646</v>
      </c>
      <c r="E14" s="424">
        <v>112.266621</v>
      </c>
      <c r="F14" s="423">
        <v>4616</v>
      </c>
      <c r="G14" s="424">
        <v>112.34304899999999</v>
      </c>
      <c r="H14" s="423">
        <v>3612</v>
      </c>
      <c r="I14" s="424">
        <v>85.987493000000001</v>
      </c>
      <c r="J14" s="423">
        <v>1439</v>
      </c>
      <c r="K14" s="425">
        <v>50.103394999999999</v>
      </c>
    </row>
    <row r="15" spans="1:11" customFormat="1" ht="13.35" customHeight="1">
      <c r="A15" s="26"/>
      <c r="B15" s="246" t="s">
        <v>30</v>
      </c>
      <c r="C15" s="246" t="s">
        <v>54</v>
      </c>
      <c r="D15" s="423">
        <v>4381</v>
      </c>
      <c r="E15" s="424">
        <v>104.9713</v>
      </c>
      <c r="F15" s="423">
        <v>4710</v>
      </c>
      <c r="G15" s="424">
        <v>123.205815</v>
      </c>
      <c r="H15" s="423">
        <v>3559</v>
      </c>
      <c r="I15" s="424">
        <v>87.252223000000001</v>
      </c>
      <c r="J15" s="423">
        <v>1371</v>
      </c>
      <c r="K15" s="425">
        <v>48.429994000000001</v>
      </c>
    </row>
    <row r="16" spans="1:11" customFormat="1" ht="13.35" customHeight="1">
      <c r="A16" s="26"/>
      <c r="B16" s="246" t="s">
        <v>31</v>
      </c>
      <c r="C16" s="246" t="s">
        <v>55</v>
      </c>
      <c r="D16" s="423">
        <v>4238</v>
      </c>
      <c r="E16" s="424">
        <v>109.435399</v>
      </c>
      <c r="F16" s="423">
        <v>4245</v>
      </c>
      <c r="G16" s="424">
        <v>104.552115</v>
      </c>
      <c r="H16" s="423">
        <v>3470</v>
      </c>
      <c r="I16" s="424">
        <v>84.790007000000003</v>
      </c>
      <c r="J16" s="423">
        <v>1292</v>
      </c>
      <c r="K16" s="425">
        <v>45.030456000000001</v>
      </c>
    </row>
    <row r="17" spans="1:11" customFormat="1" ht="13.35" customHeight="1">
      <c r="A17" s="26"/>
      <c r="B17" s="246" t="s">
        <v>32</v>
      </c>
      <c r="C17" s="246" t="s">
        <v>56</v>
      </c>
      <c r="D17" s="423">
        <v>4077</v>
      </c>
      <c r="E17" s="424">
        <v>106.15084400000001</v>
      </c>
      <c r="F17" s="423">
        <v>4569</v>
      </c>
      <c r="G17" s="424">
        <v>111.70705100000001</v>
      </c>
      <c r="H17" s="423">
        <v>3500</v>
      </c>
      <c r="I17" s="424">
        <v>87.960438999999994</v>
      </c>
      <c r="J17" s="423">
        <v>1281</v>
      </c>
      <c r="K17" s="425">
        <v>47.983359999999998</v>
      </c>
    </row>
    <row r="18" spans="1:11" customFormat="1" ht="13.35" customHeight="1">
      <c r="A18" s="26"/>
      <c r="B18" s="246" t="s">
        <v>33</v>
      </c>
      <c r="C18" s="246" t="s">
        <v>57</v>
      </c>
      <c r="D18" s="423">
        <v>3933</v>
      </c>
      <c r="E18" s="424">
        <v>97.258694000000006</v>
      </c>
      <c r="F18" s="423">
        <v>4328</v>
      </c>
      <c r="G18" s="424">
        <v>103.017848</v>
      </c>
      <c r="H18" s="423">
        <v>3522</v>
      </c>
      <c r="I18" s="424">
        <v>88.872658999999999</v>
      </c>
      <c r="J18" s="423">
        <v>1162</v>
      </c>
      <c r="K18" s="425">
        <v>43.205829999999999</v>
      </c>
    </row>
    <row r="19" spans="1:11" customFormat="1" ht="13.35" customHeight="1">
      <c r="A19" s="26"/>
      <c r="B19" s="246" t="s">
        <v>34</v>
      </c>
      <c r="C19" s="246" t="s">
        <v>58</v>
      </c>
      <c r="D19" s="423">
        <v>3660</v>
      </c>
      <c r="E19" s="424">
        <v>100.00840100000001</v>
      </c>
      <c r="F19" s="423">
        <v>4003</v>
      </c>
      <c r="G19" s="424">
        <v>96.35324</v>
      </c>
      <c r="H19" s="423">
        <v>3561</v>
      </c>
      <c r="I19" s="424">
        <v>85.287171999999998</v>
      </c>
      <c r="J19" s="423">
        <v>1171</v>
      </c>
      <c r="K19" s="425">
        <v>44.743518000000002</v>
      </c>
    </row>
    <row r="20" spans="1:11" customFormat="1" ht="13.35" customHeight="1">
      <c r="A20" s="26"/>
      <c r="B20" s="246" t="s">
        <v>35</v>
      </c>
      <c r="C20" s="446" t="s">
        <v>59</v>
      </c>
      <c r="D20" s="423">
        <v>14765</v>
      </c>
      <c r="E20" s="424">
        <v>434.09903500000001</v>
      </c>
      <c r="F20" s="423">
        <v>16523</v>
      </c>
      <c r="G20" s="424">
        <v>437.63918100000001</v>
      </c>
      <c r="H20" s="423">
        <v>15170</v>
      </c>
      <c r="I20" s="424">
        <v>402.09243500000002</v>
      </c>
      <c r="J20" s="423">
        <v>5232</v>
      </c>
      <c r="K20" s="425">
        <v>206.90163899999999</v>
      </c>
    </row>
    <row r="21" spans="1:11" customFormat="1" ht="13.35" customHeight="1">
      <c r="A21" s="26"/>
      <c r="B21" s="246" t="s">
        <v>36</v>
      </c>
      <c r="C21" s="246" t="s">
        <v>60</v>
      </c>
      <c r="D21" s="423">
        <v>19177</v>
      </c>
      <c r="E21" s="424">
        <v>676.53491499999996</v>
      </c>
      <c r="F21" s="423">
        <v>20928</v>
      </c>
      <c r="G21" s="424">
        <v>680.66995599999996</v>
      </c>
      <c r="H21" s="423">
        <v>19381</v>
      </c>
      <c r="I21" s="424">
        <v>618.38996099999997</v>
      </c>
      <c r="J21" s="423">
        <v>7400</v>
      </c>
      <c r="K21" s="425">
        <v>357.10981900000002</v>
      </c>
    </row>
    <row r="22" spans="1:11" customFormat="1" ht="13.35" customHeight="1">
      <c r="A22" s="26"/>
      <c r="B22" s="246" t="s">
        <v>37</v>
      </c>
      <c r="C22" s="246" t="s">
        <v>61</v>
      </c>
      <c r="D22" s="423">
        <v>11337</v>
      </c>
      <c r="E22" s="424">
        <v>508.82252199999999</v>
      </c>
      <c r="F22" s="423">
        <v>12240</v>
      </c>
      <c r="G22" s="424">
        <v>480.22762699999998</v>
      </c>
      <c r="H22" s="423">
        <v>11106</v>
      </c>
      <c r="I22" s="424">
        <v>450.50858299999999</v>
      </c>
      <c r="J22" s="423">
        <v>4691</v>
      </c>
      <c r="K22" s="425">
        <v>294.42565300000001</v>
      </c>
    </row>
    <row r="23" spans="1:11" customFormat="1" ht="13.35" customHeight="1">
      <c r="A23" s="26"/>
      <c r="B23" s="246" t="s">
        <v>38</v>
      </c>
      <c r="C23" s="246" t="s">
        <v>62</v>
      </c>
      <c r="D23" s="423">
        <v>6917</v>
      </c>
      <c r="E23" s="424">
        <v>369.98555399999998</v>
      </c>
      <c r="F23" s="423">
        <v>7715</v>
      </c>
      <c r="G23" s="424">
        <v>391.62917499999998</v>
      </c>
      <c r="H23" s="423">
        <v>7147</v>
      </c>
      <c r="I23" s="424">
        <v>351.91556600000001</v>
      </c>
      <c r="J23" s="423">
        <v>2909</v>
      </c>
      <c r="K23" s="425">
        <v>235.100663</v>
      </c>
    </row>
    <row r="24" spans="1:11" customFormat="1" ht="13.35" customHeight="1">
      <c r="A24" s="26"/>
      <c r="B24" s="246" t="s">
        <v>39</v>
      </c>
      <c r="C24" s="246" t="s">
        <v>63</v>
      </c>
      <c r="D24" s="423">
        <v>7824</v>
      </c>
      <c r="E24" s="424">
        <v>568.75670400000001</v>
      </c>
      <c r="F24" s="423">
        <v>8980</v>
      </c>
      <c r="G24" s="424">
        <v>584.12063499999999</v>
      </c>
      <c r="H24" s="423">
        <v>8460</v>
      </c>
      <c r="I24" s="424">
        <v>537.98673499999995</v>
      </c>
      <c r="J24" s="423">
        <v>3566</v>
      </c>
      <c r="K24" s="425">
        <v>396.143055</v>
      </c>
    </row>
    <row r="25" spans="1:11" customFormat="1" ht="13.35" customHeight="1">
      <c r="A25" s="26"/>
      <c r="B25" s="246" t="s">
        <v>40</v>
      </c>
      <c r="C25" s="246" t="s">
        <v>64</v>
      </c>
      <c r="D25" s="423">
        <v>2939</v>
      </c>
      <c r="E25" s="424">
        <v>277.70662900000002</v>
      </c>
      <c r="F25" s="423">
        <v>3459</v>
      </c>
      <c r="G25" s="424">
        <v>316.69284299999998</v>
      </c>
      <c r="H25" s="423">
        <v>3082</v>
      </c>
      <c r="I25" s="424">
        <v>271.74704400000002</v>
      </c>
      <c r="J25" s="423">
        <v>1349</v>
      </c>
      <c r="K25" s="425">
        <v>221.75689499999999</v>
      </c>
    </row>
    <row r="26" spans="1:11" customFormat="1" ht="13.35" customHeight="1">
      <c r="A26" s="26"/>
      <c r="B26" s="246" t="s">
        <v>41</v>
      </c>
      <c r="C26" s="246" t="s">
        <v>65</v>
      </c>
      <c r="D26" s="423">
        <v>2949</v>
      </c>
      <c r="E26" s="424">
        <v>356.40433300000001</v>
      </c>
      <c r="F26" s="423">
        <v>3341</v>
      </c>
      <c r="G26" s="424">
        <v>397.87781999999999</v>
      </c>
      <c r="H26" s="423">
        <v>3014</v>
      </c>
      <c r="I26" s="424">
        <v>357.35778599999998</v>
      </c>
      <c r="J26" s="423">
        <v>1185</v>
      </c>
      <c r="K26" s="425">
        <v>275.12364200000002</v>
      </c>
    </row>
    <row r="27" spans="1:11" customFormat="1" ht="13.35" customHeight="1">
      <c r="A27" s="26"/>
      <c r="B27" s="246" t="s">
        <v>42</v>
      </c>
      <c r="C27" s="246" t="s">
        <v>66</v>
      </c>
      <c r="D27" s="423">
        <v>952</v>
      </c>
      <c r="E27" s="424">
        <v>164.94516200000001</v>
      </c>
      <c r="F27" s="423">
        <v>965</v>
      </c>
      <c r="G27" s="424">
        <v>178.60896500000001</v>
      </c>
      <c r="H27" s="423">
        <v>826</v>
      </c>
      <c r="I27" s="424">
        <v>192.28176300000001</v>
      </c>
      <c r="J27" s="423">
        <v>238</v>
      </c>
      <c r="K27" s="425">
        <v>82.926381000000006</v>
      </c>
    </row>
    <row r="28" spans="1:11" customFormat="1" ht="13.35" customHeight="1">
      <c r="A28" s="26"/>
      <c r="B28" s="246" t="s">
        <v>43</v>
      </c>
      <c r="C28" s="246" t="s">
        <v>67</v>
      </c>
      <c r="D28" s="423">
        <v>254</v>
      </c>
      <c r="E28" s="424">
        <v>51.742652</v>
      </c>
      <c r="F28" s="423">
        <v>211</v>
      </c>
      <c r="G28" s="424">
        <v>104.536573</v>
      </c>
      <c r="H28" s="423">
        <v>159</v>
      </c>
      <c r="I28" s="424">
        <v>118.02970500000001</v>
      </c>
      <c r="J28" s="423">
        <v>21</v>
      </c>
      <c r="K28" s="425">
        <v>9.7849319999999995</v>
      </c>
    </row>
    <row r="29" spans="1:11" customFormat="1" ht="13.35" customHeight="1">
      <c r="A29" s="88"/>
      <c r="B29" s="75" t="s">
        <v>9</v>
      </c>
      <c r="C29" s="89"/>
      <c r="D29" s="20">
        <f t="shared" ref="D29:K29" si="0">SUM(D4:D28)</f>
        <v>123728</v>
      </c>
      <c r="E29" s="18">
        <f t="shared" si="0"/>
        <v>4978.0039900000002</v>
      </c>
      <c r="F29" s="20">
        <f t="shared" si="0"/>
        <v>130719</v>
      </c>
      <c r="G29" s="18">
        <f t="shared" si="0"/>
        <v>5144.4956000000002</v>
      </c>
      <c r="H29" s="20">
        <f t="shared" si="0"/>
        <v>114285</v>
      </c>
      <c r="I29" s="18">
        <f t="shared" si="0"/>
        <v>4559.8829259999993</v>
      </c>
      <c r="J29" s="20">
        <f t="shared" si="0"/>
        <v>45036</v>
      </c>
      <c r="K29" s="25">
        <f t="shared" si="0"/>
        <v>2743.5687840000001</v>
      </c>
    </row>
    <row r="30" spans="1:11" s="1" customFormat="1" ht="13.35" customHeight="1"/>
    <row r="31" spans="1:11" customFormat="1" ht="13.35" customHeight="1">
      <c r="F31" s="560" t="s">
        <v>506</v>
      </c>
      <c r="H31" s="1"/>
    </row>
    <row r="32" spans="1:11" customFormat="1" ht="13.35" customHeight="1">
      <c r="H32" s="1"/>
    </row>
    <row r="33" spans="3:11" customFormat="1" ht="13.35" customHeight="1">
      <c r="C33" s="170" t="s">
        <v>257</v>
      </c>
      <c r="D33" s="171">
        <v>0</v>
      </c>
      <c r="E33" s="171">
        <v>0</v>
      </c>
      <c r="F33" s="171">
        <v>0</v>
      </c>
      <c r="G33" s="171">
        <v>0</v>
      </c>
      <c r="H33" s="171">
        <v>0</v>
      </c>
      <c r="I33" s="171">
        <v>0</v>
      </c>
      <c r="J33" s="171">
        <v>0</v>
      </c>
      <c r="K33" s="172">
        <v>0</v>
      </c>
    </row>
    <row r="34" spans="3:11" customFormat="1" ht="13.35" customHeight="1">
      <c r="H34" s="1"/>
    </row>
  </sheetData>
  <mergeCells count="2">
    <mergeCell ref="B3:C3"/>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11">
    <pageSetUpPr fitToPage="1"/>
  </sheetPr>
  <dimension ref="A1:K13"/>
  <sheetViews>
    <sheetView showGridLines="0" zoomScaleNormal="100" zoomScaleSheetLayoutView="90" workbookViewId="0"/>
  </sheetViews>
  <sheetFormatPr defaultColWidth="9.140625" defaultRowHeight="12.75"/>
  <cols>
    <col min="1" max="1" width="3.7109375" customWidth="1"/>
    <col min="2" max="2" width="8.7109375" style="2" customWidth="1"/>
    <col min="3" max="3" width="1.7109375" style="2" customWidth="1"/>
    <col min="4" max="8" width="11.85546875" style="2" customWidth="1"/>
    <col min="9" max="9" width="13.28515625" style="6" customWidth="1"/>
    <col min="10" max="16384" width="9.140625" style="10"/>
  </cols>
  <sheetData>
    <row r="1" spans="1:11" customFormat="1" ht="15" customHeight="1">
      <c r="B1" s="465" t="s">
        <v>428</v>
      </c>
      <c r="C1" s="465"/>
      <c r="D1" s="465"/>
      <c r="E1" s="465"/>
      <c r="F1" s="465"/>
      <c r="G1" s="465"/>
      <c r="H1" s="465"/>
      <c r="I1" s="465"/>
    </row>
    <row r="2" spans="1:11" customFormat="1" ht="33.75" customHeight="1">
      <c r="A2" s="456"/>
      <c r="B2" s="528" t="s">
        <v>183</v>
      </c>
      <c r="C2" s="529"/>
      <c r="D2" s="487" t="s">
        <v>232</v>
      </c>
      <c r="E2" s="530" t="s">
        <v>116</v>
      </c>
      <c r="F2" s="530" t="s">
        <v>522</v>
      </c>
      <c r="G2" s="530" t="s">
        <v>69</v>
      </c>
      <c r="H2" s="487" t="s">
        <v>523</v>
      </c>
      <c r="I2" s="487" t="s">
        <v>233</v>
      </c>
    </row>
    <row r="3" spans="1:11" customFormat="1" ht="13.35" customHeight="1">
      <c r="A3" s="456"/>
      <c r="B3" s="466">
        <v>2008</v>
      </c>
      <c r="C3" s="525" t="s">
        <v>164</v>
      </c>
      <c r="D3" s="523">
        <f>A2.1.1!D29</f>
        <v>4123231</v>
      </c>
      <c r="E3" s="434">
        <f>A2.1.1!E29</f>
        <v>692570.49087600014</v>
      </c>
      <c r="F3" s="434">
        <f>E3/D3*1000000</f>
        <v>167967.90935943197</v>
      </c>
      <c r="G3" s="434">
        <f>A2.1.1!F29</f>
        <v>149523.961067</v>
      </c>
      <c r="H3" s="523">
        <f>G3/D3*1000000</f>
        <v>36263.784655043579</v>
      </c>
      <c r="I3" s="521">
        <f>G3/E3</f>
        <v>0.21589710078157404</v>
      </c>
    </row>
    <row r="4" spans="1:11" customFormat="1" ht="13.35" customHeight="1">
      <c r="A4" s="456"/>
      <c r="B4" s="466">
        <v>2009</v>
      </c>
      <c r="C4" s="526"/>
      <c r="D4" s="523">
        <f>A2.1.1!G29</f>
        <v>4420407</v>
      </c>
      <c r="E4" s="434">
        <f>A2.1.1!H29</f>
        <v>796819.29525199987</v>
      </c>
      <c r="F4" s="434">
        <f t="shared" ref="F4:F6" si="0">E4/D4*1000000</f>
        <v>180259.26012061784</v>
      </c>
      <c r="G4" s="434">
        <f>A2.1.1!I29</f>
        <v>170532.18330300003</v>
      </c>
      <c r="H4" s="523">
        <f t="shared" ref="H4:H6" si="1">G4/D4*1000000</f>
        <v>38578.389569783969</v>
      </c>
      <c r="I4" s="521">
        <f>G4/E4</f>
        <v>0.21401613178690407</v>
      </c>
      <c r="K4" s="413"/>
    </row>
    <row r="5" spans="1:11" customFormat="1" ht="13.35" customHeight="1">
      <c r="A5" s="456"/>
      <c r="B5" s="466">
        <v>2010</v>
      </c>
      <c r="C5" s="526"/>
      <c r="D5" s="523">
        <f>A2.1.1!J29</f>
        <v>4584519</v>
      </c>
      <c r="E5" s="434">
        <f>A2.1.1!K29</f>
        <v>830156.54103700002</v>
      </c>
      <c r="F5" s="434">
        <f t="shared" si="0"/>
        <v>181078.22020957925</v>
      </c>
      <c r="G5" s="434">
        <f>A2.1.1!L29</f>
        <v>170551.41915300005</v>
      </c>
      <c r="H5" s="523">
        <f t="shared" si="1"/>
        <v>37201.595009858189</v>
      </c>
      <c r="I5" s="521">
        <f>G5/E5</f>
        <v>0.20544488987577414</v>
      </c>
    </row>
    <row r="6" spans="1:11" customFormat="1" ht="13.35" customHeight="1">
      <c r="A6" s="456"/>
      <c r="B6" s="467">
        <v>2011</v>
      </c>
      <c r="C6" s="527"/>
      <c r="D6" s="524">
        <f>A2.1.1!M29</f>
        <v>4522692</v>
      </c>
      <c r="E6" s="435">
        <f>A2.1.1!N29</f>
        <v>885241.04371599993</v>
      </c>
      <c r="F6" s="435">
        <f t="shared" si="0"/>
        <v>195733.21458016595</v>
      </c>
      <c r="G6" s="435">
        <f>A2.1.1!O29</f>
        <v>182162.96044700002</v>
      </c>
      <c r="H6" s="524">
        <f t="shared" si="1"/>
        <v>40277.551610191455</v>
      </c>
      <c r="I6" s="522">
        <f>G6/E6</f>
        <v>0.20577780677941648</v>
      </c>
    </row>
    <row r="7" spans="1:11" s="1" customFormat="1" ht="13.35" customHeight="1">
      <c r="C7" s="76"/>
    </row>
    <row r="9" spans="1:11">
      <c r="D9" s="412"/>
      <c r="E9" s="412"/>
      <c r="F9" s="560" t="s">
        <v>506</v>
      </c>
      <c r="G9" s="412"/>
      <c r="H9" s="412"/>
      <c r="I9" s="412"/>
    </row>
    <row r="10" spans="1:11">
      <c r="D10" s="412"/>
      <c r="E10" s="412"/>
      <c r="F10" s="412"/>
      <c r="G10" s="412"/>
      <c r="H10" s="412"/>
      <c r="I10" s="412"/>
    </row>
    <row r="11" spans="1:11">
      <c r="D11" s="412"/>
      <c r="E11" s="412"/>
      <c r="F11" s="412"/>
      <c r="G11" s="412"/>
      <c r="H11" s="412"/>
      <c r="I11" s="412"/>
    </row>
    <row r="12" spans="1:11">
      <c r="E12" s="414"/>
      <c r="F12" s="414"/>
    </row>
    <row r="13" spans="1:11">
      <c r="D13" s="411"/>
      <c r="E13" s="414"/>
      <c r="F13" s="414"/>
    </row>
  </sheetData>
  <hyperlinks>
    <hyperlink ref="F9"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sheetPr codeName="Sheet51" enableFormatConditionsCalculation="0">
    <pageSetUpPr fitToPage="1"/>
  </sheetPr>
  <dimension ref="A1:V31"/>
  <sheetViews>
    <sheetView showGridLines="0" zoomScaleNormal="100" zoomScaleSheetLayoutView="90" workbookViewId="0"/>
  </sheetViews>
  <sheetFormatPr defaultColWidth="9.140625" defaultRowHeight="12.75"/>
  <cols>
    <col min="1" max="1" width="0.85546875" customWidth="1"/>
    <col min="2" max="2" width="2.7109375" style="2" customWidth="1"/>
    <col min="3" max="3" width="19.7109375" style="2" customWidth="1"/>
    <col min="4" max="5" width="10.7109375" style="2" customWidth="1"/>
    <col min="6" max="6" width="10.7109375" style="14" customWidth="1"/>
    <col min="7" max="11" width="10.7109375" style="6" customWidth="1"/>
    <col min="12" max="16384" width="9.140625" style="10"/>
  </cols>
  <sheetData>
    <row r="1" spans="1:22" s="8" customFormat="1" ht="15" customHeight="1">
      <c r="A1" s="692" t="s">
        <v>503</v>
      </c>
      <c r="B1" s="692"/>
      <c r="C1" s="692"/>
      <c r="D1" s="692"/>
      <c r="E1" s="692"/>
      <c r="F1" s="692"/>
      <c r="G1" s="692"/>
      <c r="H1" s="692"/>
      <c r="I1" s="692"/>
      <c r="J1" s="692"/>
      <c r="K1" s="692"/>
    </row>
    <row r="2" spans="1:22" s="8" customFormat="1" ht="15" customHeight="1">
      <c r="A2" s="90"/>
      <c r="B2" s="91" t="s">
        <v>183</v>
      </c>
      <c r="C2" s="92"/>
      <c r="D2" s="84" t="s">
        <v>467</v>
      </c>
      <c r="E2" s="67"/>
      <c r="F2" s="65" t="s">
        <v>468</v>
      </c>
      <c r="G2" s="67"/>
      <c r="H2" s="65" t="s">
        <v>469</v>
      </c>
      <c r="I2" s="67"/>
      <c r="J2" s="708" t="s">
        <v>470</v>
      </c>
      <c r="K2" s="709"/>
      <c r="V2" s="410"/>
    </row>
    <row r="3" spans="1:22" ht="22.5" customHeight="1">
      <c r="A3" s="80"/>
      <c r="B3" s="703" t="s">
        <v>211</v>
      </c>
      <c r="C3" s="702"/>
      <c r="D3" s="32" t="s">
        <v>18</v>
      </c>
      <c r="E3" s="134" t="s">
        <v>97</v>
      </c>
      <c r="F3" s="32" t="s">
        <v>18</v>
      </c>
      <c r="G3" s="134" t="s">
        <v>97</v>
      </c>
      <c r="H3" s="32" t="s">
        <v>18</v>
      </c>
      <c r="I3" s="134" t="s">
        <v>97</v>
      </c>
      <c r="J3" s="33" t="s">
        <v>18</v>
      </c>
      <c r="K3" s="86" t="s">
        <v>97</v>
      </c>
    </row>
    <row r="4" spans="1:22" ht="13.35" customHeight="1">
      <c r="A4" s="49"/>
      <c r="B4" s="16" t="s">
        <v>19</v>
      </c>
      <c r="C4" s="16" t="s">
        <v>44</v>
      </c>
      <c r="D4" s="62">
        <f>A2.7.8!D4/A2.7.8!D$29</f>
        <v>1.9300400879348249E-2</v>
      </c>
      <c r="E4" s="58">
        <f>A2.7.8!E4/A2.7.8!E$29</f>
        <v>3.6957198983683416E-2</v>
      </c>
      <c r="F4" s="62">
        <f>A2.7.8!F4/A2.7.8!F$29</f>
        <v>1.7273693954207116E-2</v>
      </c>
      <c r="G4" s="58">
        <f>A2.7.8!G4/A2.7.8!G$29</f>
        <v>4.3927678935132143E-2</v>
      </c>
      <c r="H4" s="62">
        <f>A2.7.8!H4/A2.7.8!H$29</f>
        <v>1.5601347508421928E-2</v>
      </c>
      <c r="I4" s="58">
        <f>A2.7.8!I4/A2.7.8!I$29</f>
        <v>3.1540517231253146E-2</v>
      </c>
      <c r="J4" s="62">
        <f>A2.7.8!J4/A2.7.8!J$29</f>
        <v>1.2523314681588063E-2</v>
      </c>
      <c r="K4" s="59">
        <f>A2.7.8!K4/A2.7.8!K$29</f>
        <v>2.1080575175402638E-2</v>
      </c>
    </row>
    <row r="5" spans="1:22" ht="13.35" customHeight="1">
      <c r="A5" s="49"/>
      <c r="B5" s="16" t="s">
        <v>20</v>
      </c>
      <c r="C5" s="50" t="s">
        <v>137</v>
      </c>
      <c r="D5" s="62">
        <f>A2.7.8!D5/A2.7.8!D$29</f>
        <v>2.4893314366998577E-3</v>
      </c>
      <c r="E5" s="58">
        <f>A2.7.8!E5/A2.7.8!E$29</f>
        <v>6.4418907787978687E-3</v>
      </c>
      <c r="F5" s="62">
        <f>A2.7.8!F5/A2.7.8!F$29</f>
        <v>5.2019981793006368E-4</v>
      </c>
      <c r="G5" s="58">
        <f>A2.7.8!G5/A2.7.8!G$29</f>
        <v>2.5434231103239739E-3</v>
      </c>
      <c r="H5" s="62">
        <f>A2.7.8!H5/A2.7.8!H$29</f>
        <v>6.737542109638185E-4</v>
      </c>
      <c r="I5" s="58">
        <f>A2.7.8!I5/A2.7.8!I$29</f>
        <v>3.8672830610300634E-3</v>
      </c>
      <c r="J5" s="62">
        <f>A2.7.8!J5/A2.7.8!J$29</f>
        <v>7.5495159428013141E-4</v>
      </c>
      <c r="K5" s="59">
        <f>A2.7.8!K5/A2.7.8!K$29</f>
        <v>3.6548462201777257E-3</v>
      </c>
    </row>
    <row r="6" spans="1:22" ht="13.35" customHeight="1">
      <c r="A6" s="49"/>
      <c r="B6" s="16" t="s">
        <v>21</v>
      </c>
      <c r="C6" s="16" t="s">
        <v>45</v>
      </c>
      <c r="D6" s="62">
        <f>A2.7.8!D6/A2.7.8!D$29</f>
        <v>1.8896288633130739E-2</v>
      </c>
      <c r="E6" s="58">
        <f>A2.7.8!E6/A2.7.8!E$29</f>
        <v>1.2331302892346617E-2</v>
      </c>
      <c r="F6" s="62">
        <f>A2.7.8!F6/A2.7.8!F$29</f>
        <v>1.559069454325691E-2</v>
      </c>
      <c r="G6" s="58">
        <f>A2.7.8!G6/A2.7.8!G$29</f>
        <v>1.1463371841546525E-2</v>
      </c>
      <c r="H6" s="62">
        <f>A2.7.8!H6/A2.7.8!H$29</f>
        <v>1.5382596141225882E-2</v>
      </c>
      <c r="I6" s="58">
        <f>A2.7.8!I6/A2.7.8!I$29</f>
        <v>1.1638972723923835E-2</v>
      </c>
      <c r="J6" s="62">
        <f>A2.7.8!J6/A2.7.8!J$29</f>
        <v>1.4788169464428458E-2</v>
      </c>
      <c r="K6" s="59">
        <f>A2.7.8!K6/A2.7.8!K$29</f>
        <v>8.0483872424756374E-3</v>
      </c>
    </row>
    <row r="7" spans="1:22" ht="13.35" customHeight="1">
      <c r="A7" s="49"/>
      <c r="B7" s="16" t="s">
        <v>22</v>
      </c>
      <c r="C7" s="16" t="s">
        <v>46</v>
      </c>
      <c r="D7" s="62">
        <f>A2.7.8!D7/A2.7.8!D$29</f>
        <v>1.4944070865123497E-2</v>
      </c>
      <c r="E7" s="58">
        <f>A2.7.8!E7/A2.7.8!E$29</f>
        <v>1.0060808328118676E-2</v>
      </c>
      <c r="F7" s="62">
        <f>A2.7.8!F7/A2.7.8!F$29</f>
        <v>1.3410445306344143E-2</v>
      </c>
      <c r="G7" s="58">
        <f>A2.7.8!G7/A2.7.8!G$29</f>
        <v>9.7212037658269152E-3</v>
      </c>
      <c r="H7" s="62">
        <f>A2.7.8!H7/A2.7.8!H$29</f>
        <v>1.1830073937962112E-2</v>
      </c>
      <c r="I7" s="58">
        <f>A2.7.8!I7/A2.7.8!I$29</f>
        <v>7.786218106074245E-3</v>
      </c>
      <c r="J7" s="62">
        <f>A2.7.8!J7/A2.7.8!J$29</f>
        <v>1.3078426147970513E-2</v>
      </c>
      <c r="K7" s="59">
        <f>A2.7.8!K7/A2.7.8!K$29</f>
        <v>6.5456412482640348E-3</v>
      </c>
    </row>
    <row r="8" spans="1:22" ht="13.35" customHeight="1">
      <c r="A8" s="49"/>
      <c r="B8" s="16" t="s">
        <v>23</v>
      </c>
      <c r="C8" s="16" t="s">
        <v>47</v>
      </c>
      <c r="D8" s="62">
        <f>A2.7.8!D8/A2.7.8!D$29</f>
        <v>2.374563558774085E-2</v>
      </c>
      <c r="E8" s="58">
        <f>A2.7.8!E8/A2.7.8!E$29</f>
        <v>1.5258770011552361E-2</v>
      </c>
      <c r="F8" s="62">
        <f>A2.7.8!F8/A2.7.8!F$29</f>
        <v>1.8688943458869789E-2</v>
      </c>
      <c r="G8" s="58">
        <f>A2.7.8!G8/A2.7.8!G$29</f>
        <v>1.2045731363828943E-2</v>
      </c>
      <c r="H8" s="62">
        <f>A2.7.8!H8/A2.7.8!H$29</f>
        <v>1.5592597453734086E-2</v>
      </c>
      <c r="I8" s="58">
        <f>A2.7.8!I8/A2.7.8!I$29</f>
        <v>1.1265229575764773E-2</v>
      </c>
      <c r="J8" s="62">
        <f>A2.7.8!J8/A2.7.8!J$29</f>
        <v>1.7519317879030109E-2</v>
      </c>
      <c r="K8" s="59">
        <f>A2.7.8!K8/A2.7.8!K$29</f>
        <v>8.612765656835086E-3</v>
      </c>
    </row>
    <row r="9" spans="1:22" ht="13.35" customHeight="1">
      <c r="A9" s="49"/>
      <c r="B9" s="16" t="s">
        <v>24</v>
      </c>
      <c r="C9" s="16" t="s">
        <v>48</v>
      </c>
      <c r="D9" s="62">
        <f>A2.7.8!D9/A2.7.8!D$29</f>
        <v>3.4333376438639596E-2</v>
      </c>
      <c r="E9" s="58">
        <f>A2.7.8!E9/A2.7.8!E$29</f>
        <v>2.1356066450240029E-2</v>
      </c>
      <c r="F9" s="62">
        <f>A2.7.8!F9/A2.7.8!F$29</f>
        <v>3.0324589386393715E-2</v>
      </c>
      <c r="G9" s="58">
        <f>A2.7.8!G9/A2.7.8!G$29</f>
        <v>1.9152921814142479E-2</v>
      </c>
      <c r="H9" s="62">
        <f>A2.7.8!H9/A2.7.8!H$29</f>
        <v>2.3581397383733649E-2</v>
      </c>
      <c r="I9" s="58">
        <f>A2.7.8!I9/A2.7.8!I$29</f>
        <v>1.5282952025509966E-2</v>
      </c>
      <c r="J9" s="62">
        <f>A2.7.8!J9/A2.7.8!J$29</f>
        <v>2.4735766942001955E-2</v>
      </c>
      <c r="K9" s="59">
        <f>A2.7.8!K9/A2.7.8!K$29</f>
        <v>1.276822589770361E-2</v>
      </c>
    </row>
    <row r="10" spans="1:22" s="51" customFormat="1" ht="13.35" customHeight="1">
      <c r="A10" s="49"/>
      <c r="B10" s="16" t="s">
        <v>25</v>
      </c>
      <c r="C10" s="16" t="s">
        <v>49</v>
      </c>
      <c r="D10" s="62">
        <f>A2.7.8!D10/A2.7.8!D$29</f>
        <v>3.3121039699987066E-2</v>
      </c>
      <c r="E10" s="58">
        <f>A2.7.8!E10/A2.7.8!E$29</f>
        <v>1.9258085006074892E-2</v>
      </c>
      <c r="F10" s="62">
        <f>A2.7.8!F10/A2.7.8!F$29</f>
        <v>3.1999938800021423E-2</v>
      </c>
      <c r="G10" s="58">
        <f>A2.7.8!G10/A2.7.8!G$29</f>
        <v>1.8067853921383468E-2</v>
      </c>
      <c r="H10" s="62">
        <f>A2.7.8!H10/A2.7.8!H$29</f>
        <v>3.5428971431071446E-2</v>
      </c>
      <c r="I10" s="58">
        <f>A2.7.8!I10/A2.7.8!I$29</f>
        <v>2.2987073725585387E-2</v>
      </c>
      <c r="J10" s="62">
        <f>A2.7.8!J10/A2.7.8!J$29</f>
        <v>4.4186872724042987E-2</v>
      </c>
      <c r="K10" s="59">
        <f>A2.7.8!K10/A2.7.8!K$29</f>
        <v>2.2120102967318204E-2</v>
      </c>
    </row>
    <row r="11" spans="1:22" s="1" customFormat="1" ht="13.35" customHeight="1">
      <c r="A11" s="26"/>
      <c r="B11" s="16" t="s">
        <v>26</v>
      </c>
      <c r="C11" s="16" t="s">
        <v>50</v>
      </c>
      <c r="D11" s="62">
        <f>A2.7.8!D11/A2.7.8!D$29</f>
        <v>3.4664748480537952E-2</v>
      </c>
      <c r="E11" s="58">
        <f>A2.7.8!E11/A2.7.8!E$29</f>
        <v>2.0645689357914714E-2</v>
      </c>
      <c r="F11" s="62">
        <f>A2.7.8!F11/A2.7.8!F$29</f>
        <v>3.2481888631338982E-2</v>
      </c>
      <c r="G11" s="58">
        <f>A2.7.8!G11/A2.7.8!G$29</f>
        <v>1.9399464546145204E-2</v>
      </c>
      <c r="H11" s="62">
        <f>A2.7.8!H11/A2.7.8!H$29</f>
        <v>3.3591459946624665E-2</v>
      </c>
      <c r="I11" s="58">
        <f>A2.7.8!I11/A2.7.8!I$29</f>
        <v>1.956373407995695E-2</v>
      </c>
      <c r="J11" s="62">
        <f>A2.7.8!J11/A2.7.8!J$29</f>
        <v>4.0856203925748291E-2</v>
      </c>
      <c r="K11" s="59">
        <f>A2.7.8!K11/A2.7.8!K$29</f>
        <v>2.0707302959312283E-2</v>
      </c>
    </row>
    <row r="12" spans="1:22" s="1" customFormat="1" ht="13.35" customHeight="1">
      <c r="A12" s="26"/>
      <c r="B12" s="16" t="s">
        <v>27</v>
      </c>
      <c r="C12" s="16" t="s">
        <v>51</v>
      </c>
      <c r="D12" s="62">
        <f>A2.7.8!D12/A2.7.8!D$29</f>
        <v>3.6014483382904437E-2</v>
      </c>
      <c r="E12" s="58">
        <f>A2.7.8!E12/A2.7.8!E$29</f>
        <v>2.244633897933055E-2</v>
      </c>
      <c r="F12" s="62">
        <f>A2.7.8!F12/A2.7.8!F$29</f>
        <v>3.4141938050321681E-2</v>
      </c>
      <c r="G12" s="58">
        <f>A2.7.8!G12/A2.7.8!G$29</f>
        <v>2.2229966335280762E-2</v>
      </c>
      <c r="H12" s="62">
        <f>A2.7.8!H12/A2.7.8!H$29</f>
        <v>3.2410202563766026E-2</v>
      </c>
      <c r="I12" s="58">
        <f>A2.7.8!I12/A2.7.8!I$29</f>
        <v>1.9566337874877274E-2</v>
      </c>
      <c r="J12" s="62">
        <f>A2.7.8!J12/A2.7.8!J$29</f>
        <v>3.6148858690825118E-2</v>
      </c>
      <c r="K12" s="59">
        <f>A2.7.8!K12/A2.7.8!K$29</f>
        <v>1.8678904753131203E-2</v>
      </c>
    </row>
    <row r="13" spans="1:22" s="1" customFormat="1" ht="13.35" customHeight="1">
      <c r="A13" s="26"/>
      <c r="B13" s="27" t="s">
        <v>28</v>
      </c>
      <c r="C13" s="27" t="s">
        <v>52</v>
      </c>
      <c r="D13" s="62">
        <f>A2.7.8!D13/A2.7.8!D$29</f>
        <v>3.8528061554377345E-2</v>
      </c>
      <c r="E13" s="58">
        <f>A2.7.8!E13/A2.7.8!E$29</f>
        <v>2.3856639978305842E-2</v>
      </c>
      <c r="F13" s="62">
        <f>A2.7.8!F13/A2.7.8!F$29</f>
        <v>3.4195488031579187E-2</v>
      </c>
      <c r="G13" s="58">
        <f>A2.7.8!G13/A2.7.8!G$29</f>
        <v>2.0535661066558207E-2</v>
      </c>
      <c r="H13" s="62">
        <f>A2.7.8!H13/A2.7.8!H$29</f>
        <v>3.2173951087194293E-2</v>
      </c>
      <c r="I13" s="58">
        <f>A2.7.8!I13/A2.7.8!I$29</f>
        <v>1.8660089388444094E-2</v>
      </c>
      <c r="J13" s="62">
        <f>A2.7.8!J13/A2.7.8!J$29</f>
        <v>3.3639754862776448E-2</v>
      </c>
      <c r="K13" s="59">
        <f>A2.7.8!K13/A2.7.8!K$29</f>
        <v>1.8038361672801421E-2</v>
      </c>
    </row>
    <row r="14" spans="1:22" s="1" customFormat="1" ht="13.35" customHeight="1">
      <c r="A14" s="26"/>
      <c r="B14" s="27" t="s">
        <v>29</v>
      </c>
      <c r="C14" s="27" t="s">
        <v>53</v>
      </c>
      <c r="D14" s="62">
        <f>A2.7.8!D14/A2.7.8!D$29</f>
        <v>3.7550109918530972E-2</v>
      </c>
      <c r="E14" s="58">
        <f>A2.7.8!E14/A2.7.8!E$29</f>
        <v>2.2552537367492145E-2</v>
      </c>
      <c r="F14" s="62">
        <f>A2.7.8!F14/A2.7.8!F$29</f>
        <v>3.5312387640664328E-2</v>
      </c>
      <c r="G14" s="58">
        <f>A2.7.8!G14/A2.7.8!G$29</f>
        <v>2.1837524557315198E-2</v>
      </c>
      <c r="H14" s="62">
        <f>A2.7.8!H14/A2.7.8!H$29</f>
        <v>3.1605197532484579E-2</v>
      </c>
      <c r="I14" s="58">
        <f>A2.7.8!I14/A2.7.8!I$29</f>
        <v>1.8857390506608812E-2</v>
      </c>
      <c r="J14" s="62">
        <f>A2.7.8!J14/A2.7.8!J$29</f>
        <v>3.1952216004973798E-2</v>
      </c>
      <c r="K14" s="59">
        <f>A2.7.8!K14/A2.7.8!K$29</f>
        <v>1.826212460653219E-2</v>
      </c>
    </row>
    <row r="15" spans="1:22" customFormat="1" ht="13.35" customHeight="1">
      <c r="A15" s="26"/>
      <c r="B15" s="27" t="s">
        <v>30</v>
      </c>
      <c r="C15" s="27" t="s">
        <v>54</v>
      </c>
      <c r="D15" s="62">
        <f>A2.7.8!D15/A2.7.8!D$29</f>
        <v>3.5408315013578169E-2</v>
      </c>
      <c r="E15" s="58">
        <f>A2.7.8!E15/A2.7.8!E$29</f>
        <v>2.1087026087337465E-2</v>
      </c>
      <c r="F15" s="62">
        <f>A2.7.8!F15/A2.7.8!F$29</f>
        <v>3.6031487388979412E-2</v>
      </c>
      <c r="G15" s="58">
        <f>A2.7.8!G15/A2.7.8!G$29</f>
        <v>2.394905634674855E-2</v>
      </c>
      <c r="H15" s="62">
        <f>A2.7.8!H15/A2.7.8!H$29</f>
        <v>3.1141444634028962E-2</v>
      </c>
      <c r="I15" s="58">
        <f>A2.7.8!I15/A2.7.8!I$29</f>
        <v>1.913475069776386E-2</v>
      </c>
      <c r="J15" s="62">
        <f>A2.7.8!J15/A2.7.8!J$29</f>
        <v>3.0442312816413537E-2</v>
      </c>
      <c r="K15" s="59">
        <f>A2.7.8!K15/A2.7.8!K$29</f>
        <v>1.7652188741333924E-2</v>
      </c>
    </row>
    <row r="16" spans="1:22" customFormat="1" ht="13.35" customHeight="1">
      <c r="A16" s="26"/>
      <c r="B16" s="27" t="s">
        <v>31</v>
      </c>
      <c r="C16" s="27" t="s">
        <v>55</v>
      </c>
      <c r="D16" s="62">
        <f>A2.7.8!D16/A2.7.8!D$29</f>
        <v>3.4252553989396098E-2</v>
      </c>
      <c r="E16" s="58">
        <f>A2.7.8!E16/A2.7.8!E$29</f>
        <v>2.1983790937057886E-2</v>
      </c>
      <c r="F16" s="62">
        <f>A2.7.8!F16/A2.7.8!F$29</f>
        <v>3.2474238634016481E-2</v>
      </c>
      <c r="G16" s="58">
        <f>A2.7.8!G16/A2.7.8!G$29</f>
        <v>2.032310320179883E-2</v>
      </c>
      <c r="H16" s="62">
        <f>A2.7.8!H16/A2.7.8!H$29</f>
        <v>3.0362689766811043E-2</v>
      </c>
      <c r="I16" s="58">
        <f>A2.7.8!I16/A2.7.8!I$29</f>
        <v>1.8594777185294783E-2</v>
      </c>
      <c r="J16" s="62">
        <f>A2.7.8!J16/A2.7.8!J$29</f>
        <v>2.8688160582644995E-2</v>
      </c>
      <c r="K16" s="59">
        <f>A2.7.8!K16/A2.7.8!K$29</f>
        <v>1.6413095331383534E-2</v>
      </c>
    </row>
    <row r="17" spans="1:11" customFormat="1" ht="13.35" customHeight="1">
      <c r="A17" s="26"/>
      <c r="B17" s="27" t="s">
        <v>32</v>
      </c>
      <c r="C17" s="27" t="s">
        <v>56</v>
      </c>
      <c r="D17" s="62">
        <f>A2.7.8!D17/A2.7.8!D$29</f>
        <v>3.2951312556575713E-2</v>
      </c>
      <c r="E17" s="58">
        <f>A2.7.8!E17/A2.7.8!E$29</f>
        <v>2.1323977283513589E-2</v>
      </c>
      <c r="F17" s="62">
        <f>A2.7.8!F17/A2.7.8!F$29</f>
        <v>3.4952837766506782E-2</v>
      </c>
      <c r="G17" s="58">
        <f>A2.7.8!G17/A2.7.8!G$29</f>
        <v>2.1713897665691463E-2</v>
      </c>
      <c r="H17" s="62">
        <f>A2.7.8!H17/A2.7.8!H$29</f>
        <v>3.0625191407446295E-2</v>
      </c>
      <c r="I17" s="58">
        <f>A2.7.8!I17/A2.7.8!I$29</f>
        <v>1.9290065211643552E-2</v>
      </c>
      <c r="J17" s="62">
        <f>A2.7.8!J17/A2.7.8!J$29</f>
        <v>2.8443911537436719E-2</v>
      </c>
      <c r="K17" s="59">
        <f>A2.7.8!K17/A2.7.8!K$29</f>
        <v>1.7489395665904323E-2</v>
      </c>
    </row>
    <row r="18" spans="1:11" customFormat="1" ht="13.35" customHeight="1">
      <c r="A18" s="26"/>
      <c r="B18" s="27" t="s">
        <v>33</v>
      </c>
      <c r="C18" s="27" t="s">
        <v>57</v>
      </c>
      <c r="D18" s="62">
        <f>A2.7.8!D18/A2.7.8!D$29</f>
        <v>3.178746928746929E-2</v>
      </c>
      <c r="E18" s="58">
        <f>A2.7.8!E18/A2.7.8!E$29</f>
        <v>1.953768904070324E-2</v>
      </c>
      <c r="F18" s="62">
        <f>A2.7.8!F18/A2.7.8!F$29</f>
        <v>3.3109188411784056E-2</v>
      </c>
      <c r="G18" s="58">
        <f>A2.7.8!G18/A2.7.8!G$29</f>
        <v>2.0024868521609777E-2</v>
      </c>
      <c r="H18" s="62">
        <f>A2.7.8!H18/A2.7.8!H$29</f>
        <v>3.0817692610578817E-2</v>
      </c>
      <c r="I18" s="58">
        <f>A2.7.8!I18/A2.7.8!I$29</f>
        <v>1.949011859345268E-2</v>
      </c>
      <c r="J18" s="62">
        <f>A2.7.8!J18/A2.7.8!J$29</f>
        <v>2.5801580957456258E-2</v>
      </c>
      <c r="K18" s="59">
        <f>A2.7.8!K18/A2.7.8!K$29</f>
        <v>1.5748039652575374E-2</v>
      </c>
    </row>
    <row r="19" spans="1:11" customFormat="1" ht="13.35" customHeight="1">
      <c r="A19" s="26"/>
      <c r="B19" s="27" t="s">
        <v>34</v>
      </c>
      <c r="C19" s="27" t="s">
        <v>58</v>
      </c>
      <c r="D19" s="62">
        <f>A2.7.8!D19/A2.7.8!D$29</f>
        <v>2.9581016423121685E-2</v>
      </c>
      <c r="E19" s="58">
        <f>A2.7.8!E19/A2.7.8!E$29</f>
        <v>2.0090060434041556E-2</v>
      </c>
      <c r="F19" s="62">
        <f>A2.7.8!F19/A2.7.8!F$29</f>
        <v>3.062293928197125E-2</v>
      </c>
      <c r="G19" s="58">
        <f>A2.7.8!G19/A2.7.8!G$29</f>
        <v>1.8729385248186431E-2</v>
      </c>
      <c r="H19" s="62">
        <f>A2.7.8!H19/A2.7.8!H$29</f>
        <v>3.1158944743404648E-2</v>
      </c>
      <c r="I19" s="58">
        <f>A2.7.8!I19/A2.7.8!I$29</f>
        <v>1.8703807396830523E-2</v>
      </c>
      <c r="J19" s="62">
        <f>A2.7.8!J19/A2.7.8!J$29</f>
        <v>2.6001421085353939E-2</v>
      </c>
      <c r="K19" s="59">
        <f>A2.7.8!K19/A2.7.8!K$29</f>
        <v>1.6308509653899021E-2</v>
      </c>
    </row>
    <row r="20" spans="1:11" customFormat="1" ht="13.35" customHeight="1">
      <c r="A20" s="26"/>
      <c r="B20" s="27" t="s">
        <v>35</v>
      </c>
      <c r="C20" s="87" t="s">
        <v>59</v>
      </c>
      <c r="D20" s="62">
        <f>A2.7.8!D20/A2.7.8!D$29</f>
        <v>0.11933434630803051</v>
      </c>
      <c r="E20" s="58">
        <f>A2.7.8!E20/A2.7.8!E$29</f>
        <v>8.7203432514725648E-2</v>
      </c>
      <c r="F20" s="62">
        <f>A2.7.8!F20/A2.7.8!F$29</f>
        <v>0.12640090575968299</v>
      </c>
      <c r="G20" s="58">
        <f>A2.7.8!G20/A2.7.8!G$29</f>
        <v>8.5069405249369831E-2</v>
      </c>
      <c r="H20" s="62">
        <f>A2.7.8!H20/A2.7.8!H$29</f>
        <v>0.13273832961456009</v>
      </c>
      <c r="I20" s="58">
        <f>A2.7.8!I20/A2.7.8!I$29</f>
        <v>8.8180429525352266E-2</v>
      </c>
      <c r="J20" s="62">
        <f>A2.7.8!J20/A2.7.8!J$29</f>
        <v>0.11617372768451906</v>
      </c>
      <c r="K20" s="59">
        <f>A2.7.8!K20/A2.7.8!K$29</f>
        <v>7.5413323043553041E-2</v>
      </c>
    </row>
    <row r="21" spans="1:11" customFormat="1" ht="13.35" customHeight="1">
      <c r="A21" s="26"/>
      <c r="B21" s="27" t="s">
        <v>36</v>
      </c>
      <c r="C21" s="27" t="s">
        <v>60</v>
      </c>
      <c r="D21" s="62">
        <f>A2.7.8!D21/A2.7.8!D$29</f>
        <v>0.15499321091426355</v>
      </c>
      <c r="E21" s="58">
        <f>A2.7.8!E21/A2.7.8!E$29</f>
        <v>0.13590485591394633</v>
      </c>
      <c r="F21" s="62">
        <f>A2.7.8!F21/A2.7.8!F$29</f>
        <v>0.16009914396529962</v>
      </c>
      <c r="G21" s="58">
        <f>A2.7.8!G21/A2.7.8!G$29</f>
        <v>0.1323103388406047</v>
      </c>
      <c r="H21" s="62">
        <f>A2.7.8!H21/A2.7.8!H$29</f>
        <v>0.16958480990506192</v>
      </c>
      <c r="I21" s="58">
        <f>A2.7.8!I21/A2.7.8!I$29</f>
        <v>0.13561531535689259</v>
      </c>
      <c r="J21" s="62">
        <f>A2.7.8!J21/A2.7.8!J$29</f>
        <v>0.16431299404920507</v>
      </c>
      <c r="K21" s="59">
        <f>A2.7.8!K21/A2.7.8!K$29</f>
        <v>0.13016251718659297</v>
      </c>
    </row>
    <row r="22" spans="1:11" customFormat="1" ht="13.35" customHeight="1">
      <c r="A22" s="26"/>
      <c r="B22" s="27" t="s">
        <v>37</v>
      </c>
      <c r="C22" s="27" t="s">
        <v>61</v>
      </c>
      <c r="D22" s="62">
        <f>A2.7.8!D22/A2.7.8!D$29</f>
        <v>9.1628410707358082E-2</v>
      </c>
      <c r="E22" s="58">
        <f>A2.7.8!E22/A2.7.8!E$29</f>
        <v>0.10221416515979931</v>
      </c>
      <c r="F22" s="62">
        <f>A2.7.8!F22/A2.7.8!F$29</f>
        <v>9.3635967227411465E-2</v>
      </c>
      <c r="G22" s="58">
        <f>A2.7.8!G22/A2.7.8!G$29</f>
        <v>9.3347854549627754E-2</v>
      </c>
      <c r="H22" s="62">
        <f>A2.7.8!H22/A2.7.8!H$29</f>
        <v>9.7178107363171021E-2</v>
      </c>
      <c r="I22" s="58">
        <f>A2.7.8!I22/A2.7.8!I$29</f>
        <v>9.879827844509885E-2</v>
      </c>
      <c r="J22" s="62">
        <f>A2.7.8!J22/A2.7.8!J$29</f>
        <v>0.10416111555200284</v>
      </c>
      <c r="K22" s="59">
        <f>A2.7.8!K22/A2.7.8!K$29</f>
        <v>0.10731484288530964</v>
      </c>
    </row>
    <row r="23" spans="1:11" customFormat="1" ht="13.35" customHeight="1">
      <c r="A23" s="26"/>
      <c r="B23" s="27" t="s">
        <v>38</v>
      </c>
      <c r="C23" s="27" t="s">
        <v>62</v>
      </c>
      <c r="D23" s="62">
        <f>A2.7.8!D23/A2.7.8!D$29</f>
        <v>5.5904888141730245E-2</v>
      </c>
      <c r="E23" s="58">
        <f>A2.7.8!E23/A2.7.8!E$29</f>
        <v>7.4324077430078545E-2</v>
      </c>
      <c r="F23" s="62">
        <f>A2.7.8!F23/A2.7.8!F$29</f>
        <v>5.9019729343094733E-2</v>
      </c>
      <c r="G23" s="58">
        <f>A2.7.8!G23/A2.7.8!G$29</f>
        <v>7.612586450652227E-2</v>
      </c>
      <c r="H23" s="62">
        <f>A2.7.8!H23/A2.7.8!H$29</f>
        <v>6.2536640854005343E-2</v>
      </c>
      <c r="I23" s="58">
        <f>A2.7.8!I23/A2.7.8!I$29</f>
        <v>7.7176447665665365E-2</v>
      </c>
      <c r="J23" s="62">
        <f>A2.7.8!J23/A2.7.8!J$29</f>
        <v>6.4592770228261834E-2</v>
      </c>
      <c r="K23" s="59">
        <f>A2.7.8!K23/A2.7.8!K$29</f>
        <v>8.569155049841097E-2</v>
      </c>
    </row>
    <row r="24" spans="1:11" customFormat="1" ht="13.35" customHeight="1">
      <c r="A24" s="26"/>
      <c r="B24" s="27" t="s">
        <v>39</v>
      </c>
      <c r="C24" s="27" t="s">
        <v>63</v>
      </c>
      <c r="D24" s="62">
        <f>A2.7.8!D24/A2.7.8!D$29</f>
        <v>6.3235484288115873E-2</v>
      </c>
      <c r="E24" s="58">
        <f>A2.7.8!E24/A2.7.8!E$29</f>
        <v>0.11425396708048842</v>
      </c>
      <c r="F24" s="62">
        <f>A2.7.8!F24/A2.7.8!F$29</f>
        <v>6.869697595605842E-2</v>
      </c>
      <c r="G24" s="58">
        <f>A2.7.8!G24/A2.7.8!G$29</f>
        <v>0.11354283887423287</v>
      </c>
      <c r="H24" s="62">
        <f>A2.7.8!H24/A2.7.8!H$29</f>
        <v>7.4025462659141616E-2</v>
      </c>
      <c r="I24" s="58">
        <f>A2.7.8!I24/A2.7.8!I$29</f>
        <v>0.1179825762482745</v>
      </c>
      <c r="J24" s="62">
        <f>A2.7.8!J24/A2.7.8!J$29</f>
        <v>7.9181099564792606E-2</v>
      </c>
      <c r="K24" s="59">
        <f>A2.7.8!K24/A2.7.8!K$29</f>
        <v>0.14438969320187453</v>
      </c>
    </row>
    <row r="25" spans="1:11" customFormat="1" ht="13.35" customHeight="1">
      <c r="A25" s="26"/>
      <c r="B25" s="27" t="s">
        <v>40</v>
      </c>
      <c r="C25" s="27" t="s">
        <v>64</v>
      </c>
      <c r="D25" s="62">
        <f>A2.7.8!D25/A2.7.8!D$29</f>
        <v>2.3753717832665201E-2</v>
      </c>
      <c r="E25" s="58">
        <f>A2.7.8!E25/A2.7.8!E$29</f>
        <v>5.5786742951164252E-2</v>
      </c>
      <c r="F25" s="62">
        <f>A2.7.8!F25/A2.7.8!F$29</f>
        <v>2.646134073853074E-2</v>
      </c>
      <c r="G25" s="58">
        <f>A2.7.8!G25/A2.7.8!G$29</f>
        <v>6.1559551727481301E-2</v>
      </c>
      <c r="H25" s="62">
        <f>A2.7.8!H25/A2.7.8!H$29</f>
        <v>2.6967668547928425E-2</v>
      </c>
      <c r="I25" s="58">
        <f>A2.7.8!I25/A2.7.8!I$29</f>
        <v>5.9595180053971422E-2</v>
      </c>
      <c r="J25" s="62">
        <f>A2.7.8!J25/A2.7.8!J$29</f>
        <v>2.995381472599698E-2</v>
      </c>
      <c r="K25" s="59">
        <f>A2.7.8!K25/A2.7.8!K$29</f>
        <v>8.0827896968811694E-2</v>
      </c>
    </row>
    <row r="26" spans="1:11" customFormat="1" ht="13.35" customHeight="1">
      <c r="A26" s="26"/>
      <c r="B26" s="27" t="s">
        <v>41</v>
      </c>
      <c r="C26" s="27" t="s">
        <v>65</v>
      </c>
      <c r="D26" s="62">
        <f>A2.7.8!D26/A2.7.8!D$29</f>
        <v>2.3834540281908703E-2</v>
      </c>
      <c r="E26" s="58">
        <f>A2.7.8!E26/A2.7.8!E$29</f>
        <v>7.1595831123470025E-2</v>
      </c>
      <c r="F26" s="62">
        <f>A2.7.8!F26/A2.7.8!F$29</f>
        <v>2.5558641054475632E-2</v>
      </c>
      <c r="G26" s="58">
        <f>A2.7.8!G26/A2.7.8!G$29</f>
        <v>7.7340491845303547E-2</v>
      </c>
      <c r="H26" s="62">
        <f>A2.7.8!H26/A2.7.8!H$29</f>
        <v>2.6372664829155183E-2</v>
      </c>
      <c r="I26" s="58">
        <f>A2.7.8!I26/A2.7.8!I$29</f>
        <v>7.8369947605975016E-2</v>
      </c>
      <c r="J26" s="62">
        <f>A2.7.8!J26/A2.7.8!J$29</f>
        <v>2.631228350652811E-2</v>
      </c>
      <c r="K26" s="59">
        <f>A2.7.8!K26/A2.7.8!K$29</f>
        <v>0.10027947671823344</v>
      </c>
    </row>
    <row r="27" spans="1:11" customFormat="1" ht="13.35" customHeight="1">
      <c r="A27" s="26"/>
      <c r="B27" s="27" t="s">
        <v>42</v>
      </c>
      <c r="C27" s="27" t="s">
        <v>66</v>
      </c>
      <c r="D27" s="62">
        <f>A2.7.8!D27/A2.7.8!D$29</f>
        <v>7.6942971679813789E-3</v>
      </c>
      <c r="E27" s="58">
        <f>A2.7.8!E27/A2.7.8!E$29</f>
        <v>3.3134799074357513E-2</v>
      </c>
      <c r="F27" s="62">
        <f>A2.7.8!F27/A2.7.8!F$29</f>
        <v>7.3822474162134047E-3</v>
      </c>
      <c r="G27" s="58">
        <f>A2.7.8!G27/A2.7.8!G$29</f>
        <v>3.4718460056608856E-2</v>
      </c>
      <c r="H27" s="62">
        <f>A2.7.8!H27/A2.7.8!H$29</f>
        <v>7.2275451721573259E-3</v>
      </c>
      <c r="I27" s="58">
        <f>A2.7.8!I27/A2.7.8!I$29</f>
        <v>4.2168135919373829E-2</v>
      </c>
      <c r="J27" s="62">
        <f>A2.7.8!J27/A2.7.8!J$29</f>
        <v>5.2846611599609199E-3</v>
      </c>
      <c r="K27" s="59">
        <f>A2.7.8!K27/A2.7.8!K$29</f>
        <v>3.0225734263930888E-2</v>
      </c>
    </row>
    <row r="28" spans="1:11" customFormat="1" ht="13.35" customHeight="1">
      <c r="A28" s="26"/>
      <c r="B28" s="27" t="s">
        <v>43</v>
      </c>
      <c r="C28" s="27" t="s">
        <v>67</v>
      </c>
      <c r="D28" s="62">
        <f>A2.7.8!D28/A2.7.8!D$29</f>
        <v>2.0528902107849476E-3</v>
      </c>
      <c r="E28" s="58">
        <f>A2.7.8!E28/A2.7.8!E$29</f>
        <v>1.0394256835459064E-2</v>
      </c>
      <c r="F28" s="62">
        <f>A2.7.8!F28/A2.7.8!F$29</f>
        <v>1.6141494350476978E-3</v>
      </c>
      <c r="G28" s="58">
        <f>A2.7.8!G28/A2.7.8!G$29</f>
        <v>2.0320082108729959E-2</v>
      </c>
      <c r="H28" s="62">
        <f>A2.7.8!H28/A2.7.8!H$29</f>
        <v>1.391258695366846E-3</v>
      </c>
      <c r="I28" s="58">
        <f>A2.7.8!I28/A2.7.8!I$29</f>
        <v>2.5884371795382367E-2</v>
      </c>
      <c r="J28" s="62">
        <f>A2.7.8!J28/A2.7.8!J$29</f>
        <v>4.6629363176125768E-4</v>
      </c>
      <c r="K28" s="59">
        <f>A2.7.8!K28/A2.7.8!K$29</f>
        <v>3.5664977882325982E-3</v>
      </c>
    </row>
    <row r="29" spans="1:11" customFormat="1" ht="13.35" customHeight="1">
      <c r="A29" s="88"/>
      <c r="B29" s="75" t="s">
        <v>9</v>
      </c>
      <c r="C29" s="89"/>
      <c r="D29" s="63">
        <f>A2.7.8!D29/A2.7.8!D$29</f>
        <v>1</v>
      </c>
      <c r="E29" s="60">
        <f>A2.7.8!E29/A2.7.8!E$29</f>
        <v>1</v>
      </c>
      <c r="F29" s="63">
        <f>A2.7.8!F29/A2.7.8!F$29</f>
        <v>1</v>
      </c>
      <c r="G29" s="60">
        <f>A2.7.8!G29/A2.7.8!G$29</f>
        <v>1</v>
      </c>
      <c r="H29" s="63">
        <f>A2.7.8!H29/A2.7.8!H$29</f>
        <v>1</v>
      </c>
      <c r="I29" s="60">
        <f>A2.7.8!I29/A2.7.8!I$29</f>
        <v>1</v>
      </c>
      <c r="J29" s="63">
        <f>A2.7.8!J29/A2.7.8!J$29</f>
        <v>1</v>
      </c>
      <c r="K29" s="61">
        <f>A2.7.8!K29/A2.7.8!K$29</f>
        <v>1</v>
      </c>
    </row>
    <row r="30" spans="1:11" s="1" customFormat="1" ht="13.35" customHeight="1"/>
    <row r="31" spans="1:11">
      <c r="F31" s="560" t="s">
        <v>506</v>
      </c>
    </row>
  </sheetData>
  <mergeCells count="3">
    <mergeCell ref="B3:C3"/>
    <mergeCell ref="A1:K1"/>
    <mergeCell ref="J2:K2"/>
  </mergeCells>
  <phoneticPr fontId="7" type="noConversion"/>
  <hyperlinks>
    <hyperlink ref="F3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Sheet13">
    <pageSetUpPr fitToPage="1"/>
  </sheetPr>
  <dimension ref="A1:I30"/>
  <sheetViews>
    <sheetView showGridLines="0" zoomScaleNormal="100" zoomScaleSheetLayoutView="90" workbookViewId="0"/>
  </sheetViews>
  <sheetFormatPr defaultColWidth="9.140625" defaultRowHeight="12.75"/>
  <cols>
    <col min="1" max="1" width="3.7109375" customWidth="1"/>
    <col min="2" max="2" width="15.7109375" style="2" customWidth="1"/>
    <col min="3" max="3" width="20.7109375" style="2" customWidth="1"/>
    <col min="4" max="6" width="11.7109375" style="2" customWidth="1"/>
    <col min="7" max="7" width="11.7109375" style="6" customWidth="1"/>
    <col min="8" max="16384" width="9.140625" style="10"/>
  </cols>
  <sheetData>
    <row r="1" spans="1:9" customFormat="1" ht="27.95" customHeight="1">
      <c r="A1" s="42"/>
      <c r="B1" s="692" t="s">
        <v>505</v>
      </c>
      <c r="C1" s="692"/>
      <c r="D1" s="692"/>
      <c r="E1" s="692"/>
      <c r="F1" s="692"/>
      <c r="G1" s="692"/>
    </row>
    <row r="2" spans="1:9" customFormat="1" ht="12.75" customHeight="1">
      <c r="A2" s="456"/>
      <c r="B2" s="528" t="s">
        <v>90</v>
      </c>
      <c r="C2" s="529" t="s">
        <v>95</v>
      </c>
      <c r="D2" s="531">
        <v>2008</v>
      </c>
      <c r="E2" s="531">
        <v>2009</v>
      </c>
      <c r="F2" s="531">
        <v>2010</v>
      </c>
      <c r="G2" s="532">
        <v>2011</v>
      </c>
    </row>
    <row r="3" spans="1:9" customFormat="1" ht="13.35" customHeight="1">
      <c r="A3" s="456"/>
      <c r="B3" s="212" t="s">
        <v>221</v>
      </c>
      <c r="C3" s="456" t="s">
        <v>273</v>
      </c>
      <c r="D3" s="540">
        <f>'A2.1.1 continued'!$D30</f>
        <v>7.1107100232802867E-2</v>
      </c>
      <c r="E3" s="58">
        <f>'A2.1.1 continued'!$G30</f>
        <v>6.3816748095820136E-2</v>
      </c>
      <c r="F3" s="58">
        <f>'A2.1.1 continued'!$J30</f>
        <v>6.1492383388529963E-2</v>
      </c>
      <c r="G3" s="59">
        <f>'A2.1.1 continued'!$M30</f>
        <v>4.6074550289960048E-2</v>
      </c>
    </row>
    <row r="4" spans="1:9" customFormat="1" ht="13.35" customHeight="1">
      <c r="A4" s="456"/>
      <c r="B4" s="212"/>
      <c r="C4" s="456" t="s">
        <v>274</v>
      </c>
      <c r="D4" s="540">
        <f>'A2.1.1 continued'!$D31</f>
        <v>0.16128880482320782</v>
      </c>
      <c r="E4" s="58">
        <f>'A2.1.1 continued'!$G31</f>
        <v>0.14676114665459539</v>
      </c>
      <c r="F4" s="58">
        <f>'A2.1.1 continued'!$J31</f>
        <v>0.1435046948218559</v>
      </c>
      <c r="G4" s="59">
        <f>'A2.1.1 continued'!$M31</f>
        <v>0.13787297476812482</v>
      </c>
    </row>
    <row r="5" spans="1:9" customFormat="1" ht="13.35" customHeight="1">
      <c r="A5" s="456"/>
      <c r="B5" s="212"/>
      <c r="C5" s="456" t="s">
        <v>275</v>
      </c>
      <c r="D5" s="540">
        <f>'A2.1.1 continued'!$D32</f>
        <v>0.28292254302511793</v>
      </c>
      <c r="E5" s="58">
        <f>'A2.1.1 continued'!$G32</f>
        <v>0.25362551457365806</v>
      </c>
      <c r="F5" s="58">
        <f>'A2.1.1 continued'!$J32</f>
        <v>0.25169597944735317</v>
      </c>
      <c r="G5" s="59">
        <f>'A2.1.1 continued'!$M32</f>
        <v>0.24038294007197483</v>
      </c>
    </row>
    <row r="6" spans="1:9" customFormat="1" ht="13.35" customHeight="1">
      <c r="A6" s="456"/>
      <c r="B6" s="49"/>
      <c r="C6" s="541" t="s">
        <v>276</v>
      </c>
      <c r="D6" s="58">
        <f>'A2.1.1 continued'!$D33</f>
        <v>0.41340371179785951</v>
      </c>
      <c r="E6" s="58">
        <f>'A2.1.1 continued'!$G33</f>
        <v>0.45314537778987318</v>
      </c>
      <c r="F6" s="58">
        <f>'A2.1.1 continued'!$J33</f>
        <v>0.45921982218854368</v>
      </c>
      <c r="G6" s="59">
        <f>'A2.1.1 continued'!$M33</f>
        <v>0.47833679587290046</v>
      </c>
    </row>
    <row r="7" spans="1:9" customFormat="1" ht="13.35" customHeight="1">
      <c r="A7" s="456"/>
      <c r="B7" s="537"/>
      <c r="C7" s="573" t="s">
        <v>515</v>
      </c>
      <c r="D7" s="538">
        <f>'A2.1.1 continued'!$D34</f>
        <v>7.127784012101189E-2</v>
      </c>
      <c r="E7" s="538">
        <f>'A2.1.1 continued'!$G34</f>
        <v>8.2651212886053246E-2</v>
      </c>
      <c r="F7" s="538">
        <f>'A2.1.1 continued'!$J34</f>
        <v>8.4087120153717332E-2</v>
      </c>
      <c r="G7" s="539">
        <f>'A2.1.1 continued'!$M34</f>
        <v>9.7332738997039814E-2</v>
      </c>
    </row>
    <row r="8" spans="1:9" customFormat="1" ht="13.35" customHeight="1">
      <c r="A8" s="468"/>
      <c r="B8" s="398" t="s">
        <v>9</v>
      </c>
      <c r="C8" s="542"/>
      <c r="D8" s="535">
        <f t="shared" ref="D8" si="0">SUM(D3:D7)</f>
        <v>1</v>
      </c>
      <c r="E8" s="535">
        <f t="shared" ref="E8" si="1">SUM(E3:E7)</f>
        <v>1</v>
      </c>
      <c r="F8" s="535">
        <f t="shared" ref="F8" si="2">SUM(F3:F7)</f>
        <v>1</v>
      </c>
      <c r="G8" s="536">
        <f t="shared" ref="G8" si="3">SUM(G3:G7)</f>
        <v>1</v>
      </c>
    </row>
    <row r="9" spans="1:9" customFormat="1" ht="13.35" customHeight="1">
      <c r="A9" s="456"/>
      <c r="B9" s="49" t="s">
        <v>85</v>
      </c>
      <c r="C9" s="526" t="s">
        <v>273</v>
      </c>
      <c r="D9" s="58">
        <f>'A2.1.1 continued'!$E30</f>
        <v>-2.6681726009762277E-2</v>
      </c>
      <c r="E9" s="58">
        <f>'A2.1.1 continued'!$H30</f>
        <v>-2.5634880364612672E-2</v>
      </c>
      <c r="F9" s="58">
        <f>'A2.1.1 continued'!$K30</f>
        <v>-2.8641636512673405E-2</v>
      </c>
      <c r="G9" s="59">
        <f>'A2.1.1 continued'!$N30</f>
        <v>-2.5620976839022796E-2</v>
      </c>
    </row>
    <row r="10" spans="1:9" customFormat="1" ht="13.35" customHeight="1">
      <c r="A10" s="456"/>
      <c r="B10" s="49"/>
      <c r="C10" s="526" t="s">
        <v>274</v>
      </c>
      <c r="D10" s="58">
        <f>'A2.1.1 continued'!$E31</f>
        <v>3.3849733940219763E-2</v>
      </c>
      <c r="E10" s="58">
        <f>'A2.1.1 continued'!$H31</f>
        <v>2.8733603528964664E-2</v>
      </c>
      <c r="F10" s="58">
        <f>'A2.1.1 continued'!$K31</f>
        <v>2.748252059726064E-2</v>
      </c>
      <c r="G10" s="59">
        <f>'A2.1.1 continued'!$N31</f>
        <v>2.4181871317376074E-2</v>
      </c>
    </row>
    <row r="11" spans="1:9" customFormat="1" ht="13.35" customHeight="1">
      <c r="A11" s="456"/>
      <c r="B11" s="49"/>
      <c r="C11" s="526" t="s">
        <v>275</v>
      </c>
      <c r="D11" s="58">
        <f>'A2.1.1 continued'!$E32</f>
        <v>0.15409602067366726</v>
      </c>
      <c r="E11" s="58">
        <f>'A2.1.1 continued'!$H32</f>
        <v>0.12722860803833622</v>
      </c>
      <c r="F11" s="58">
        <f>'A2.1.1 continued'!$K32</f>
        <v>0.12480085673670838</v>
      </c>
      <c r="G11" s="59">
        <f>'A2.1.1 continued'!$N32</f>
        <v>0.1095480175364662</v>
      </c>
      <c r="I11" s="407"/>
    </row>
    <row r="12" spans="1:9" customFormat="1" ht="13.35" customHeight="1">
      <c r="A12" s="456"/>
      <c r="B12" s="49"/>
      <c r="C12" s="541" t="s">
        <v>276</v>
      </c>
      <c r="D12" s="58">
        <f>'A2.1.1 continued'!$E33</f>
        <v>0.49114372631262138</v>
      </c>
      <c r="E12" s="58">
        <f>'A2.1.1 continued'!$H33</f>
        <v>0.50794088144414096</v>
      </c>
      <c r="F12" s="58">
        <f>'A2.1.1 continued'!$K33</f>
        <v>0.52168130052437645</v>
      </c>
      <c r="G12" s="59">
        <f>'A2.1.1 continued'!$N33</f>
        <v>0.51306484382767781</v>
      </c>
    </row>
    <row r="13" spans="1:9" customFormat="1" ht="13.35" customHeight="1">
      <c r="A13" s="456"/>
      <c r="B13" s="537"/>
      <c r="C13" s="573" t="s">
        <v>515</v>
      </c>
      <c r="D13" s="538">
        <f>'A2.1.1 continued'!$E34</f>
        <v>0.34759224508325376</v>
      </c>
      <c r="E13" s="538">
        <f>'A2.1.1 continued'!$H34</f>
        <v>0.36173178735317102</v>
      </c>
      <c r="F13" s="538">
        <f>'A2.1.1 continued'!$K34</f>
        <v>0.35467695865432797</v>
      </c>
      <c r="G13" s="539">
        <f>'A2.1.1 continued'!$N34</f>
        <v>0.37882624415750282</v>
      </c>
    </row>
    <row r="14" spans="1:9" s="1" customFormat="1" ht="13.35" customHeight="1">
      <c r="A14" s="468"/>
      <c r="B14" s="398" t="s">
        <v>9</v>
      </c>
      <c r="C14" s="542"/>
      <c r="D14" s="535">
        <f t="shared" ref="D14" si="4">SUM(D9:D13)</f>
        <v>1</v>
      </c>
      <c r="E14" s="535">
        <f t="shared" ref="E14" si="5">SUM(E9:E13)</f>
        <v>1.0000000000000002</v>
      </c>
      <c r="F14" s="535">
        <f t="shared" ref="F14" si="6">SUM(F9:F13)</f>
        <v>1</v>
      </c>
      <c r="G14" s="536">
        <f t="shared" ref="G14" si="7">SUM(G9:G13)</f>
        <v>1</v>
      </c>
    </row>
    <row r="15" spans="1:9" s="1" customFormat="1" ht="13.35" customHeight="1">
      <c r="A15" s="456"/>
      <c r="B15" s="49" t="s">
        <v>181</v>
      </c>
      <c r="C15" s="526" t="s">
        <v>273</v>
      </c>
      <c r="D15" s="58">
        <f>'A2.1.1 continued'!$F30</f>
        <v>8.9294678289169029E-5</v>
      </c>
      <c r="E15" s="58">
        <f>'A2.1.1 continued'!$I30</f>
        <v>3.5539719732734924E-5</v>
      </c>
      <c r="F15" s="58">
        <f>'A2.1.1 continued'!$L30</f>
        <v>2.5429187405994748E-5</v>
      </c>
      <c r="G15" s="59">
        <f>'A2.1.1 continued'!$O30</f>
        <v>1.7274949815693033E-5</v>
      </c>
    </row>
    <row r="16" spans="1:9" s="1" customFormat="1" ht="13.35" customHeight="1">
      <c r="A16" s="456"/>
      <c r="B16" s="49"/>
      <c r="C16" s="526" t="s">
        <v>274</v>
      </c>
      <c r="D16" s="58">
        <f>'A2.1.1 continued'!$F31</f>
        <v>2.547995861541444E-3</v>
      </c>
      <c r="E16" s="58">
        <f>'A2.1.1 continued'!$I31</f>
        <v>1.6064255068690056E-3</v>
      </c>
      <c r="F16" s="58">
        <f>'A2.1.1 continued'!$L31</f>
        <v>3.8917607563532523E-4</v>
      </c>
      <c r="G16" s="59">
        <f>'A2.1.1 continued'!$O31</f>
        <v>1.6054069898863252E-4</v>
      </c>
    </row>
    <row r="17" spans="1:9" s="1" customFormat="1" ht="13.35" customHeight="1">
      <c r="A17" s="456"/>
      <c r="B17" s="49"/>
      <c r="C17" s="526" t="s">
        <v>275</v>
      </c>
      <c r="D17" s="58">
        <f>'A2.1.1 continued'!$F32</f>
        <v>6.6022117007564551E-2</v>
      </c>
      <c r="E17" s="58">
        <f>'A2.1.1 continued'!$I32</f>
        <v>5.0223390905529616E-2</v>
      </c>
      <c r="F17" s="58">
        <f>'A2.1.1 continued'!$L32</f>
        <v>4.0909512806462447E-2</v>
      </c>
      <c r="G17" s="59">
        <f>'A2.1.1 continued'!$O32</f>
        <v>3.2431831583670856E-2</v>
      </c>
      <c r="I17" s="407"/>
    </row>
    <row r="18" spans="1:9" s="1" customFormat="1" ht="13.35" customHeight="1">
      <c r="A18" s="456"/>
      <c r="B18" s="49"/>
      <c r="C18" s="541" t="s">
        <v>276</v>
      </c>
      <c r="D18" s="58">
        <f>'A2.1.1 continued'!$F33</f>
        <v>0.41363876503570018</v>
      </c>
      <c r="E18" s="58">
        <f>'A2.1.1 continued'!$I33</f>
        <v>0.41506004070936448</v>
      </c>
      <c r="F18" s="58">
        <f>'A2.1.1 continued'!$L33</f>
        <v>0.41835360282163281</v>
      </c>
      <c r="G18" s="59">
        <f>'A2.1.1 continued'!$O33</f>
        <v>0.40105913956232686</v>
      </c>
    </row>
    <row r="19" spans="1:9" s="1" customFormat="1" ht="13.35" customHeight="1">
      <c r="A19" s="456"/>
      <c r="B19" s="537"/>
      <c r="C19" s="573" t="s">
        <v>515</v>
      </c>
      <c r="D19" s="538">
        <f>'A2.1.1 continued'!$F34</f>
        <v>0.51770182741690463</v>
      </c>
      <c r="E19" s="538">
        <f>'A2.1.1 continued'!$I34</f>
        <v>0.53307460315850408</v>
      </c>
      <c r="F19" s="538">
        <f>'A2.1.1 continued'!$L34</f>
        <v>0.5403222791088631</v>
      </c>
      <c r="G19" s="539">
        <f>'A2.1.1 continued'!$O34</f>
        <v>0.56633121320519786</v>
      </c>
    </row>
    <row r="20" spans="1:9" s="1" customFormat="1" ht="13.35" customHeight="1">
      <c r="A20" s="468"/>
      <c r="B20" s="398" t="s">
        <v>9</v>
      </c>
      <c r="C20" s="533"/>
      <c r="D20" s="534">
        <f t="shared" ref="D20" si="8">SUM(D15:D19)</f>
        <v>1</v>
      </c>
      <c r="E20" s="535">
        <f t="shared" ref="E20" si="9">SUM(E15:E19)</f>
        <v>0.99999999999999989</v>
      </c>
      <c r="F20" s="535">
        <f t="shared" ref="F20" si="10">SUM(F15:F19)</f>
        <v>0.99999999999999967</v>
      </c>
      <c r="G20" s="536">
        <f t="shared" ref="G20" si="11">SUM(G15:G19)</f>
        <v>0.99999999999999989</v>
      </c>
    </row>
    <row r="21" spans="1:9" customFormat="1" ht="13.35" customHeight="1"/>
    <row r="22" spans="1:9" customFormat="1" ht="13.35" customHeight="1">
      <c r="B22" s="2"/>
      <c r="D22" s="560" t="s">
        <v>506</v>
      </c>
    </row>
    <row r="23" spans="1:9" customFormat="1" ht="13.35" customHeight="1"/>
    <row r="24" spans="1:9" customFormat="1" ht="13.35" customHeight="1"/>
    <row r="25" spans="1:9" customFormat="1" ht="13.35" customHeight="1"/>
    <row r="26" spans="1:9" customFormat="1" ht="13.35" customHeight="1">
      <c r="B26" s="602" t="s">
        <v>369</v>
      </c>
      <c r="C26" s="603"/>
      <c r="D26" s="604"/>
    </row>
    <row r="27" spans="1:9" customFormat="1" ht="13.35" customHeight="1">
      <c r="B27" s="605" t="s">
        <v>274</v>
      </c>
      <c r="C27" s="606" t="s">
        <v>370</v>
      </c>
      <c r="D27" s="607"/>
      <c r="E27" s="2"/>
      <c r="F27" s="2"/>
      <c r="G27" s="6"/>
    </row>
    <row r="28" spans="1:9" customFormat="1" ht="13.35" customHeight="1">
      <c r="B28" s="605" t="s">
        <v>275</v>
      </c>
      <c r="C28" s="606" t="s">
        <v>371</v>
      </c>
      <c r="D28" s="607"/>
      <c r="E28" s="2"/>
      <c r="F28" s="2"/>
      <c r="G28" s="6"/>
    </row>
    <row r="29" spans="1:9" customFormat="1" ht="13.35" customHeight="1">
      <c r="B29" s="608" t="s">
        <v>276</v>
      </c>
      <c r="C29" s="609" t="s">
        <v>372</v>
      </c>
      <c r="D29" s="610"/>
      <c r="E29" s="2"/>
      <c r="F29" s="2"/>
      <c r="G29" s="6"/>
    </row>
    <row r="30" spans="1:9" customFormat="1" ht="13.35" customHeight="1">
      <c r="B30" s="2"/>
      <c r="C30" s="2"/>
      <c r="D30" s="2"/>
      <c r="E30" s="2"/>
      <c r="F30" s="2"/>
      <c r="G30" s="6"/>
    </row>
  </sheetData>
  <mergeCells count="1">
    <mergeCell ref="B1:G1"/>
  </mergeCells>
  <hyperlinks>
    <hyperlink ref="D22"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2"/>
  <sheetViews>
    <sheetView showGridLines="0" zoomScaleNormal="100" zoomScaleSheetLayoutView="90" workbookViewId="0"/>
  </sheetViews>
  <sheetFormatPr defaultColWidth="9.140625" defaultRowHeight="12.75"/>
  <cols>
    <col min="1" max="1" width="3.7109375" customWidth="1"/>
    <col min="2" max="2" width="2.7109375" style="2" customWidth="1"/>
    <col min="3" max="3" width="16.28515625" style="2" customWidth="1"/>
    <col min="4" max="7" width="12.7109375" style="2" customWidth="1"/>
    <col min="8" max="8" width="5.5703125" style="6" customWidth="1"/>
    <col min="9" max="10" width="9.7109375" style="6" customWidth="1"/>
    <col min="11" max="11" width="9.85546875" style="10" customWidth="1"/>
    <col min="12" max="16384" width="9.140625" style="10"/>
  </cols>
  <sheetData>
    <row r="1" spans="1:12" ht="15" customHeight="1">
      <c r="B1" s="469" t="s">
        <v>521</v>
      </c>
      <c r="C1" s="469"/>
      <c r="D1" s="469"/>
      <c r="E1" s="469"/>
      <c r="F1" s="469"/>
      <c r="G1" s="469"/>
      <c r="H1" s="469"/>
    </row>
    <row r="2" spans="1:12" s="8" customFormat="1" ht="15" customHeight="1">
      <c r="A2" s="470"/>
      <c r="B2" s="543" t="s">
        <v>183</v>
      </c>
      <c r="C2" s="555"/>
      <c r="D2" s="695" t="s">
        <v>429</v>
      </c>
      <c r="E2" s="695"/>
      <c r="F2" s="695"/>
      <c r="G2" s="696"/>
      <c r="H2" s="438"/>
      <c r="I2" s="438"/>
      <c r="J2" s="438"/>
      <c r="K2" s="438"/>
      <c r="L2" s="7"/>
    </row>
    <row r="3" spans="1:12" ht="33.75">
      <c r="A3" s="456"/>
      <c r="B3" s="693" t="s">
        <v>477</v>
      </c>
      <c r="C3" s="694"/>
      <c r="D3" s="544" t="s">
        <v>18</v>
      </c>
      <c r="E3" s="544" t="s">
        <v>452</v>
      </c>
      <c r="F3" s="544" t="s">
        <v>481</v>
      </c>
      <c r="G3" s="545" t="s">
        <v>68</v>
      </c>
      <c r="H3" s="21"/>
      <c r="J3" s="94"/>
      <c r="K3" s="94"/>
      <c r="L3" s="94"/>
    </row>
    <row r="4" spans="1:12" customFormat="1" ht="13.35" customHeight="1">
      <c r="A4" s="457"/>
      <c r="B4" s="422"/>
      <c r="C4" s="556" t="s">
        <v>273</v>
      </c>
      <c r="D4" s="424">
        <f>+A2.1.2!M30</f>
        <v>189316</v>
      </c>
      <c r="E4" s="424">
        <f>+A2.1.2!O30</f>
        <v>-21237.746469999998</v>
      </c>
      <c r="F4" s="424">
        <f>E4-G4</f>
        <v>898.33939800000007</v>
      </c>
      <c r="G4" s="425">
        <f>+A2.1.2!N30</f>
        <v>-22136.085867999998</v>
      </c>
      <c r="H4" s="6"/>
      <c r="I4" s="6"/>
      <c r="J4" s="15"/>
      <c r="K4" s="15"/>
      <c r="L4" s="15"/>
    </row>
    <row r="5" spans="1:12" customFormat="1" ht="13.35" customHeight="1">
      <c r="A5" s="457"/>
      <c r="B5" s="422"/>
      <c r="C5" s="556" t="s">
        <v>274</v>
      </c>
      <c r="D5" s="424">
        <f>+A2.1.2!M31</f>
        <v>542167</v>
      </c>
      <c r="E5" s="424">
        <f>+A2.1.2!O31</f>
        <v>18139.511009999998</v>
      </c>
      <c r="F5" s="424">
        <f>E5-G5</f>
        <v>1780.1076849999972</v>
      </c>
      <c r="G5" s="425">
        <f>+A2.1.2!N31</f>
        <v>16359.403325000001</v>
      </c>
      <c r="H5" s="6"/>
      <c r="I5" s="6"/>
      <c r="J5" s="15"/>
      <c r="K5" s="15"/>
      <c r="L5" s="15"/>
    </row>
    <row r="6" spans="1:12" customFormat="1" ht="13.35" customHeight="1">
      <c r="A6" s="457"/>
      <c r="B6" s="422"/>
      <c r="C6" s="556" t="s">
        <v>275</v>
      </c>
      <c r="D6" s="424">
        <f>+A2.1.2!M32</f>
        <v>928224</v>
      </c>
      <c r="E6" s="424">
        <f>+A2.1.2!O32</f>
        <v>84211.10929600001</v>
      </c>
      <c r="F6" s="424">
        <f>E6-G6</f>
        <v>9556.7911580000073</v>
      </c>
      <c r="G6" s="425">
        <f>+A2.1.2!N32</f>
        <v>74654.318138000002</v>
      </c>
      <c r="H6" s="6"/>
      <c r="I6" s="6"/>
      <c r="J6" s="15"/>
      <c r="K6" s="15"/>
      <c r="L6" s="15"/>
    </row>
    <row r="7" spans="1:12" customFormat="1" ht="13.35" customHeight="1">
      <c r="A7" s="457"/>
      <c r="B7" s="422"/>
      <c r="C7" s="557" t="s">
        <v>276</v>
      </c>
      <c r="D7" s="424">
        <f>+A2.1.2!M33</f>
        <v>2309846</v>
      </c>
      <c r="E7" s="424">
        <f>+A2.1.2!O33</f>
        <v>502994.49810600001</v>
      </c>
      <c r="F7" s="424">
        <f>E7-G7</f>
        <v>62454.382672000036</v>
      </c>
      <c r="G7" s="425">
        <f>+A2.1.2!N33</f>
        <v>440540.11543399998</v>
      </c>
      <c r="H7" s="6"/>
      <c r="I7" s="6"/>
      <c r="J7" s="15"/>
      <c r="K7" s="15"/>
      <c r="L7" s="15"/>
    </row>
    <row r="8" spans="1:12" customFormat="1" ht="13.35" customHeight="1">
      <c r="A8" s="457"/>
      <c r="B8" s="548"/>
      <c r="C8" s="558" t="s">
        <v>515</v>
      </c>
      <c r="D8" s="549">
        <f>+A2.1.2!M34</f>
        <v>553139</v>
      </c>
      <c r="E8" s="549">
        <f>+A2.1.2!O34</f>
        <v>416101.68609799998</v>
      </c>
      <c r="F8" s="549">
        <f>E8-G8</f>
        <v>40278.393411000026</v>
      </c>
      <c r="G8" s="550">
        <f>+A2.1.2!N34</f>
        <v>375823.29268699995</v>
      </c>
      <c r="H8" s="6"/>
      <c r="I8" s="6"/>
      <c r="J8" s="15"/>
      <c r="K8" s="15"/>
      <c r="L8" s="15"/>
    </row>
    <row r="9" spans="1:12" customFormat="1" ht="12" customHeight="1">
      <c r="A9" s="457"/>
      <c r="B9" s="398" t="s">
        <v>9</v>
      </c>
      <c r="C9" s="558"/>
      <c r="D9" s="546">
        <f>SUM(D4:D8)</f>
        <v>4522692</v>
      </c>
      <c r="E9" s="546">
        <f>SUM(E4:E8)</f>
        <v>1000209.05804</v>
      </c>
      <c r="F9" s="546">
        <f>SUM(F4:F8)</f>
        <v>114968.01432400006</v>
      </c>
      <c r="G9" s="547">
        <f>SUM(G4:G8)</f>
        <v>885241.04371599993</v>
      </c>
      <c r="H9" s="6"/>
      <c r="I9" s="6"/>
      <c r="J9" s="95"/>
      <c r="K9" s="95"/>
      <c r="L9" s="95"/>
    </row>
    <row r="10" spans="1:12" customFormat="1" ht="56.25">
      <c r="A10" s="456"/>
      <c r="B10" s="693" t="s">
        <v>477</v>
      </c>
      <c r="C10" s="694"/>
      <c r="D10" s="551" t="s">
        <v>479</v>
      </c>
      <c r="E10" s="544" t="s">
        <v>482</v>
      </c>
      <c r="F10" s="544" t="s">
        <v>480</v>
      </c>
      <c r="G10" s="545" t="s">
        <v>508</v>
      </c>
      <c r="H10" s="1"/>
      <c r="I10" s="1"/>
      <c r="J10" s="225"/>
      <c r="K10" s="225"/>
      <c r="L10" s="225"/>
    </row>
    <row r="11" spans="1:12" customFormat="1" ht="13.35" customHeight="1">
      <c r="A11" s="456"/>
      <c r="B11" s="422"/>
      <c r="C11" s="556" t="s">
        <v>273</v>
      </c>
      <c r="D11" s="429">
        <f t="shared" ref="D11:D16" si="0">G4*1000000/$D4</f>
        <v>-116926.65103847535</v>
      </c>
      <c r="E11" s="429">
        <f>F4*1000000/$D4</f>
        <v>4745.1847598723834</v>
      </c>
      <c r="F11" s="429">
        <f>D11-E11</f>
        <v>-121671.83579834773</v>
      </c>
      <c r="G11" s="437">
        <f>-E11/D11</f>
        <v>4.0582576493283423E-2</v>
      </c>
      <c r="H11" s="1"/>
      <c r="I11" s="1"/>
      <c r="J11" s="1"/>
    </row>
    <row r="12" spans="1:12" customFormat="1" ht="13.35" customHeight="1">
      <c r="A12" s="456"/>
      <c r="B12" s="422"/>
      <c r="C12" s="556" t="s">
        <v>274</v>
      </c>
      <c r="D12" s="429">
        <f t="shared" si="0"/>
        <v>30174.103781676131</v>
      </c>
      <c r="E12" s="429">
        <f>F5*1000000/D5</f>
        <v>3283.3198719213769</v>
      </c>
      <c r="F12" s="429">
        <f t="shared" ref="F12:F15" si="1">D12-E12</f>
        <v>26890.783909754755</v>
      </c>
      <c r="G12" s="437">
        <f>E12/D12</f>
        <v>0.10881250676665476</v>
      </c>
      <c r="H12" s="1"/>
      <c r="I12" s="1"/>
      <c r="J12" s="1"/>
    </row>
    <row r="13" spans="1:12" customFormat="1" ht="13.35" customHeight="1">
      <c r="A13" s="456"/>
      <c r="B13" s="422"/>
      <c r="C13" s="556" t="s">
        <v>275</v>
      </c>
      <c r="D13" s="429">
        <f t="shared" si="0"/>
        <v>80427.050084893301</v>
      </c>
      <c r="E13" s="429">
        <f>F6*1000000/D6</f>
        <v>10295.78114549937</v>
      </c>
      <c r="F13" s="429">
        <f t="shared" si="1"/>
        <v>70131.268939393936</v>
      </c>
      <c r="G13" s="437">
        <f>E13/D13</f>
        <v>0.12801390992995326</v>
      </c>
      <c r="H13" s="1"/>
      <c r="I13" s="1"/>
      <c r="J13" s="1"/>
    </row>
    <row r="14" spans="1:12" customFormat="1" ht="13.35" customHeight="1">
      <c r="A14" s="456"/>
      <c r="B14" s="422"/>
      <c r="C14" s="557" t="s">
        <v>276</v>
      </c>
      <c r="D14" s="429">
        <f t="shared" si="0"/>
        <v>190722.72152948726</v>
      </c>
      <c r="E14" s="429">
        <f>F7*1000000/D7</f>
        <v>27038.331850694824</v>
      </c>
      <c r="F14" s="429">
        <f t="shared" si="1"/>
        <v>163684.38967879245</v>
      </c>
      <c r="G14" s="437">
        <f>E14/D14</f>
        <v>0.14176775390925031</v>
      </c>
      <c r="H14" s="1"/>
      <c r="I14" s="1"/>
      <c r="J14" s="1"/>
    </row>
    <row r="15" spans="1:12" customFormat="1" ht="13.35" customHeight="1">
      <c r="A15" s="457"/>
      <c r="B15" s="548"/>
      <c r="C15" s="558" t="s">
        <v>515</v>
      </c>
      <c r="D15" s="553">
        <f t="shared" si="0"/>
        <v>679437.3433928903</v>
      </c>
      <c r="E15" s="553">
        <f>F8*1000000/D8</f>
        <v>72817.851229076274</v>
      </c>
      <c r="F15" s="553">
        <f t="shared" si="1"/>
        <v>606619.49216381402</v>
      </c>
      <c r="G15" s="554">
        <f>E15/D15</f>
        <v>0.10717375477987047</v>
      </c>
    </row>
    <row r="16" spans="1:12" customFormat="1" ht="13.35" customHeight="1">
      <c r="A16" s="457"/>
      <c r="B16" s="398" t="s">
        <v>9</v>
      </c>
      <c r="C16" s="562"/>
      <c r="D16" s="563">
        <f t="shared" si="0"/>
        <v>195733.21458016595</v>
      </c>
      <c r="E16" s="546">
        <f>F9*1000000/D9</f>
        <v>25420.261721116553</v>
      </c>
      <c r="F16" s="546">
        <f t="shared" ref="F16" si="2">D16-E16</f>
        <v>170312.9528590494</v>
      </c>
      <c r="G16" s="552">
        <f>E16/D16</f>
        <v>0.12987198813262857</v>
      </c>
    </row>
    <row r="17" spans="1:10" customFormat="1" ht="13.35" customHeight="1">
      <c r="A17" s="26"/>
      <c r="B17" s="132"/>
      <c r="C17" s="225"/>
    </row>
    <row r="18" spans="1:10" ht="13.35" customHeight="1">
      <c r="A18" s="26"/>
      <c r="B18" s="42"/>
      <c r="C18" s="42"/>
      <c r="D18" s="42"/>
      <c r="E18" s="560" t="s">
        <v>506</v>
      </c>
      <c r="F18"/>
      <c r="G18"/>
      <c r="H18"/>
      <c r="I18"/>
      <c r="J18"/>
    </row>
    <row r="19" spans="1:10">
      <c r="A19" s="26"/>
    </row>
    <row r="20" spans="1:10">
      <c r="A20" s="26"/>
    </row>
    <row r="21" spans="1:10">
      <c r="A21" s="26"/>
    </row>
    <row r="22" spans="1:10">
      <c r="A22" s="26"/>
    </row>
    <row r="23" spans="1:10">
      <c r="A23" s="26"/>
    </row>
    <row r="24" spans="1:10">
      <c r="A24" s="26"/>
    </row>
    <row r="25" spans="1:10">
      <c r="A25" s="26"/>
    </row>
    <row r="26" spans="1:10">
      <c r="A26" s="26"/>
    </row>
    <row r="27" spans="1:10">
      <c r="A27" s="26"/>
    </row>
    <row r="28" spans="1:10">
      <c r="A28" s="26"/>
    </row>
    <row r="29" spans="1:10">
      <c r="A29" s="26"/>
    </row>
    <row r="30" spans="1:10">
      <c r="A30" s="26"/>
    </row>
    <row r="31" spans="1:10">
      <c r="A31" s="88"/>
    </row>
    <row r="32" spans="1:10">
      <c r="A32" s="88"/>
    </row>
  </sheetData>
  <mergeCells count="3">
    <mergeCell ref="B3:C3"/>
    <mergeCell ref="B10:C10"/>
    <mergeCell ref="D2:G2"/>
  </mergeCells>
  <hyperlinks>
    <hyperlink ref="E18"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ignoredErrors>
    <ignoredError sqref="D11:F16" unlockedFormula="1"/>
    <ignoredError sqref="D2" numberStoredAsText="1"/>
  </ignoredErrors>
</worksheet>
</file>

<file path=xl/worksheets/sheet9.xml><?xml version="1.0" encoding="utf-8"?>
<worksheet xmlns="http://schemas.openxmlformats.org/spreadsheetml/2006/main" xmlns:r="http://schemas.openxmlformats.org/officeDocument/2006/relationships">
  <sheetPr codeName="Sheet17">
    <pageSetUpPr fitToPage="1"/>
  </sheetPr>
  <dimension ref="A1:L56"/>
  <sheetViews>
    <sheetView showGridLines="0" zoomScaleNormal="100" zoomScaleSheetLayoutView="90" workbookViewId="0"/>
  </sheetViews>
  <sheetFormatPr defaultColWidth="9.140625" defaultRowHeight="15"/>
  <cols>
    <col min="1" max="1" width="9.140625" style="231"/>
    <col min="2" max="2" width="9.5703125" style="231" bestFit="1" customWidth="1"/>
    <col min="3" max="3" width="9.140625" style="231"/>
    <col min="4" max="5" width="8.5703125" style="231" customWidth="1"/>
    <col min="6" max="6" width="12.5703125" style="231" bestFit="1" customWidth="1"/>
    <col min="7" max="7" width="10.5703125" style="231" customWidth="1"/>
    <col min="8" max="8" width="9.140625" style="231"/>
    <col min="9" max="9" width="11.5703125" style="231" customWidth="1"/>
    <col min="10" max="16384" width="9.140625" style="231"/>
  </cols>
  <sheetData>
    <row r="1" spans="1:1" ht="15" customHeight="1">
      <c r="A1" s="458" t="s">
        <v>412</v>
      </c>
    </row>
    <row r="23" spans="1:10">
      <c r="B23" s="560" t="s">
        <v>506</v>
      </c>
    </row>
    <row r="29" spans="1:10">
      <c r="A29" s="311"/>
      <c r="B29" s="311"/>
      <c r="C29" s="311"/>
      <c r="D29" s="311"/>
      <c r="E29" s="311"/>
      <c r="F29" s="311"/>
      <c r="G29" s="311"/>
      <c r="H29" s="311"/>
      <c r="I29" s="311"/>
      <c r="J29" s="311"/>
    </row>
    <row r="30" spans="1:10" ht="45.75">
      <c r="A30" s="624" t="s">
        <v>331</v>
      </c>
      <c r="B30" s="625" t="s">
        <v>332</v>
      </c>
      <c r="C30" s="625"/>
      <c r="D30" s="611" t="s">
        <v>183</v>
      </c>
      <c r="E30" s="612" t="s">
        <v>333</v>
      </c>
      <c r="F30" s="613" t="s">
        <v>85</v>
      </c>
      <c r="G30" s="612" t="s">
        <v>334</v>
      </c>
      <c r="H30" s="612" t="s">
        <v>354</v>
      </c>
      <c r="I30" s="612" t="s">
        <v>335</v>
      </c>
      <c r="J30" s="612" t="s">
        <v>336</v>
      </c>
    </row>
    <row r="31" spans="1:10">
      <c r="A31" s="614" t="s">
        <v>337</v>
      </c>
      <c r="B31" s="615">
        <v>42.658333333333303</v>
      </c>
      <c r="C31" s="616"/>
      <c r="D31" s="614" t="s">
        <v>337</v>
      </c>
      <c r="E31" s="619"/>
      <c r="F31" s="617">
        <v>100000</v>
      </c>
      <c r="G31" s="618">
        <f>17070+0.43*(F31-56000)-2225</f>
        <v>33765</v>
      </c>
      <c r="H31" s="377">
        <f t="shared" ref="H31:H47" si="0">G31/F31</f>
        <v>0.33765000000000001</v>
      </c>
      <c r="I31" s="618">
        <f>G31</f>
        <v>33765</v>
      </c>
      <c r="J31" s="377">
        <f t="shared" ref="J31:J47" si="1">I31/F31</f>
        <v>0.33765000000000001</v>
      </c>
    </row>
    <row r="32" spans="1:10">
      <c r="A32" s="614" t="s">
        <v>338</v>
      </c>
      <c r="B32" s="615">
        <v>45.966666666666654</v>
      </c>
      <c r="C32" s="616"/>
      <c r="D32" s="619" t="s">
        <v>338</v>
      </c>
      <c r="E32" s="377">
        <f t="shared" ref="E32:E33" si="2">B32/B31-1</f>
        <v>7.7554209806603325E-2</v>
      </c>
      <c r="F32" s="618">
        <f t="shared" ref="F32:F47" si="3">B32/B31*F31</f>
        <v>107755.42098066033</v>
      </c>
      <c r="G32" s="618">
        <f t="shared" ref="G32:G47" si="4">17070+0.43*(F32-56000)-2225</f>
        <v>37099.831021683945</v>
      </c>
      <c r="H32" s="377">
        <f t="shared" si="0"/>
        <v>0.34429665518491664</v>
      </c>
      <c r="I32" s="618">
        <f>26100+(0.47*(F32-80000))-2625</f>
        <v>36520.047860910359</v>
      </c>
      <c r="J32" s="377">
        <f t="shared" si="1"/>
        <v>0.33891610768672958</v>
      </c>
    </row>
    <row r="33" spans="1:12">
      <c r="A33" s="614" t="s">
        <v>339</v>
      </c>
      <c r="B33" s="615">
        <v>49.716666666666647</v>
      </c>
      <c r="C33" s="616"/>
      <c r="D33" s="619" t="s">
        <v>339</v>
      </c>
      <c r="E33" s="377">
        <f t="shared" si="2"/>
        <v>8.1580855692530596E-2</v>
      </c>
      <c r="F33" s="618">
        <f t="shared" si="3"/>
        <v>116546.20042977146</v>
      </c>
      <c r="G33" s="618">
        <f t="shared" si="4"/>
        <v>40879.866184801722</v>
      </c>
      <c r="H33" s="377">
        <f t="shared" si="0"/>
        <v>0.3507610375460945</v>
      </c>
      <c r="I33" s="618">
        <f>34200+(0.45*(F33-100000))-2660</f>
        <v>38985.790193397159</v>
      </c>
      <c r="J33" s="377">
        <f t="shared" si="1"/>
        <v>0.3345093194770366</v>
      </c>
    </row>
    <row r="34" spans="1:12">
      <c r="A34" s="614" t="s">
        <v>340</v>
      </c>
      <c r="B34" s="615">
        <v>53.483333333333299</v>
      </c>
      <c r="C34" s="616"/>
      <c r="D34" s="620" t="s">
        <v>340</v>
      </c>
      <c r="E34" s="377">
        <f>B34/B33-1</f>
        <v>7.5762655045256144E-2</v>
      </c>
      <c r="F34" s="618">
        <f t="shared" si="3"/>
        <v>125376.05000976752</v>
      </c>
      <c r="G34" s="618">
        <f t="shared" si="4"/>
        <v>44676.701504200035</v>
      </c>
      <c r="H34" s="377">
        <f t="shared" si="0"/>
        <v>0.35634159395450293</v>
      </c>
      <c r="I34" s="618">
        <f>34050+(0.45*(F34-100000))-3215</f>
        <v>42254.222504395388</v>
      </c>
      <c r="J34" s="377">
        <f t="shared" si="1"/>
        <v>0.33701988937363664</v>
      </c>
    </row>
    <row r="35" spans="1:12">
      <c r="A35" s="614" t="s">
        <v>341</v>
      </c>
      <c r="B35" s="615">
        <v>57.549999999999976</v>
      </c>
      <c r="C35" s="616"/>
      <c r="D35" s="620" t="s">
        <v>341</v>
      </c>
      <c r="E35" s="377">
        <f t="shared" ref="E35:E47" si="5">B35/B34-1</f>
        <v>7.6036148332814246E-2</v>
      </c>
      <c r="F35" s="618">
        <f t="shared" si="3"/>
        <v>134909.16194569255</v>
      </c>
      <c r="G35" s="618">
        <f t="shared" si="4"/>
        <v>48775.939636647796</v>
      </c>
      <c r="H35" s="377">
        <f t="shared" si="0"/>
        <v>0.36154653200115844</v>
      </c>
      <c r="I35" s="618">
        <f>42150+0.45*(F35-120000)-3515</f>
        <v>45344.122875561647</v>
      </c>
      <c r="J35" s="377">
        <f t="shared" si="1"/>
        <v>0.33610855053576599</v>
      </c>
    </row>
    <row r="36" spans="1:12">
      <c r="A36" s="614" t="s">
        <v>342</v>
      </c>
      <c r="B36" s="615">
        <v>59.733333333333299</v>
      </c>
      <c r="C36" s="616"/>
      <c r="D36" s="619" t="s">
        <v>342</v>
      </c>
      <c r="E36" s="377">
        <f t="shared" si="5"/>
        <v>3.793802490587872E-2</v>
      </c>
      <c r="F36" s="618">
        <f t="shared" si="3"/>
        <v>140027.34909161946</v>
      </c>
      <c r="G36" s="618">
        <f t="shared" si="4"/>
        <v>50976.760109396368</v>
      </c>
      <c r="H36" s="377">
        <f t="shared" si="0"/>
        <v>0.36404859793526789</v>
      </c>
      <c r="I36" s="618">
        <f>40870+0.45*(F36-120000)-3710</f>
        <v>46172.307091228759</v>
      </c>
      <c r="J36" s="377">
        <f t="shared" si="1"/>
        <v>0.32973777901785717</v>
      </c>
    </row>
    <row r="37" spans="1:12">
      <c r="A37" s="621" t="s">
        <v>343</v>
      </c>
      <c r="B37" s="615">
        <v>63.624999999999979</v>
      </c>
      <c r="C37" s="616"/>
      <c r="D37" s="620" t="s">
        <v>343</v>
      </c>
      <c r="E37" s="377">
        <f t="shared" si="5"/>
        <v>6.5150669642857428E-2</v>
      </c>
      <c r="F37" s="618">
        <f t="shared" si="3"/>
        <v>149150.22465325263</v>
      </c>
      <c r="G37" s="618">
        <f t="shared" si="4"/>
        <v>54899.596600898629</v>
      </c>
      <c r="H37" s="377">
        <f t="shared" si="0"/>
        <v>0.3680825605762934</v>
      </c>
      <c r="I37" s="618">
        <f>17400+0.4*(F37-70000)-3800</f>
        <v>45260.08986130105</v>
      </c>
      <c r="J37" s="377">
        <f t="shared" si="1"/>
        <v>0.30345304518664046</v>
      </c>
    </row>
    <row r="38" spans="1:12">
      <c r="A38" s="621" t="s">
        <v>344</v>
      </c>
      <c r="B38" s="615">
        <v>66.974999999999966</v>
      </c>
      <c r="C38" s="616"/>
      <c r="D38" s="620" t="s">
        <v>344</v>
      </c>
      <c r="E38" s="377">
        <f t="shared" si="5"/>
        <v>5.2652259332023332E-2</v>
      </c>
      <c r="F38" s="618">
        <f t="shared" si="3"/>
        <v>157003.32096112522</v>
      </c>
      <c r="G38" s="618">
        <f t="shared" si="4"/>
        <v>58276.428013283847</v>
      </c>
      <c r="H38" s="377">
        <f t="shared" si="0"/>
        <v>0.37117958815478413</v>
      </c>
      <c r="I38" s="618">
        <f>26660+0.4*(F38-100000)-4140</f>
        <v>45321.328384450091</v>
      </c>
      <c r="J38" s="377">
        <f t="shared" si="1"/>
        <v>0.28866477541371161</v>
      </c>
    </row>
    <row r="39" spans="1:12">
      <c r="A39" s="621" t="s">
        <v>345</v>
      </c>
      <c r="B39" s="615">
        <v>73.933333333333323</v>
      </c>
      <c r="C39" s="616"/>
      <c r="D39" s="620" t="s">
        <v>345</v>
      </c>
      <c r="E39" s="377">
        <f t="shared" si="5"/>
        <v>0.10389448799303258</v>
      </c>
      <c r="F39" s="618">
        <f t="shared" si="3"/>
        <v>173315.1006055871</v>
      </c>
      <c r="G39" s="618">
        <f t="shared" si="4"/>
        <v>65290.493260402451</v>
      </c>
      <c r="H39" s="377">
        <f t="shared" si="0"/>
        <v>0.37671554891794412</v>
      </c>
      <c r="I39" s="618">
        <f>47200+0.38*(F39-170000)-4860</f>
        <v>43599.738230123097</v>
      </c>
      <c r="J39" s="377">
        <f t="shared" si="1"/>
        <v>0.25156341298467094</v>
      </c>
    </row>
    <row r="40" spans="1:12">
      <c r="A40" s="621" t="s">
        <v>346</v>
      </c>
      <c r="B40" s="615">
        <v>76.408333333333303</v>
      </c>
      <c r="C40" s="616"/>
      <c r="D40" s="620" t="s">
        <v>346</v>
      </c>
      <c r="E40" s="377">
        <f t="shared" si="5"/>
        <v>3.3476104598737288E-2</v>
      </c>
      <c r="F40" s="618">
        <f t="shared" si="3"/>
        <v>179117.01504200042</v>
      </c>
      <c r="G40" s="618">
        <f t="shared" si="4"/>
        <v>67785.316468060177</v>
      </c>
      <c r="H40" s="377">
        <f t="shared" si="0"/>
        <v>0.37844152579343437</v>
      </c>
      <c r="I40" s="618">
        <f>31600+(F40-140000)*0.35-5400</f>
        <v>39890.955264700147</v>
      </c>
      <c r="J40" s="377">
        <f t="shared" si="1"/>
        <v>0.22270891045915586</v>
      </c>
    </row>
    <row r="41" spans="1:12">
      <c r="A41" s="621" t="s">
        <v>347</v>
      </c>
      <c r="B41" s="615">
        <v>77.924999999999983</v>
      </c>
      <c r="C41" s="616"/>
      <c r="D41" s="620" t="s">
        <v>347</v>
      </c>
      <c r="E41" s="377">
        <f t="shared" si="5"/>
        <v>1.9849492856363948E-2</v>
      </c>
      <c r="F41" s="618">
        <f t="shared" si="3"/>
        <v>182672.39695252985</v>
      </c>
      <c r="G41" s="618">
        <f t="shared" si="4"/>
        <v>69314.130689587822</v>
      </c>
      <c r="H41" s="377">
        <f t="shared" si="0"/>
        <v>0.37944501657576724</v>
      </c>
      <c r="I41" s="618">
        <f>35570+(F41-155000)*0.35-5800</f>
        <v>39455.338933385443</v>
      </c>
      <c r="J41" s="377">
        <f t="shared" si="1"/>
        <v>0.21598960538979792</v>
      </c>
    </row>
    <row r="42" spans="1:12">
      <c r="A42" s="621" t="s">
        <v>348</v>
      </c>
      <c r="B42" s="615">
        <v>80.741666666666646</v>
      </c>
      <c r="C42" s="616"/>
      <c r="D42" s="620" t="s">
        <v>348</v>
      </c>
      <c r="E42" s="377">
        <f t="shared" si="5"/>
        <v>3.614586675221898E-2</v>
      </c>
      <c r="F42" s="618">
        <f t="shared" si="3"/>
        <v>189275.24907208444</v>
      </c>
      <c r="G42" s="618">
        <f t="shared" si="4"/>
        <v>72153.357100996305</v>
      </c>
      <c r="H42" s="377">
        <f t="shared" si="0"/>
        <v>0.3812086231809268</v>
      </c>
      <c r="I42" s="618">
        <f>41900+0.35*(F42-180000)-6300</f>
        <v>38846.33717522955</v>
      </c>
      <c r="J42" s="377">
        <f t="shared" si="1"/>
        <v>0.20523727938899786</v>
      </c>
    </row>
    <row r="43" spans="1:12">
      <c r="A43" s="621" t="s">
        <v>349</v>
      </c>
      <c r="B43" s="615">
        <v>84.94166666666662</v>
      </c>
      <c r="C43" s="616"/>
      <c r="D43" s="620" t="s">
        <v>349</v>
      </c>
      <c r="E43" s="377">
        <f t="shared" si="5"/>
        <v>5.2017752089998703E-2</v>
      </c>
      <c r="F43" s="618">
        <f t="shared" si="3"/>
        <v>199120.92205508889</v>
      </c>
      <c r="G43" s="618">
        <f t="shared" si="4"/>
        <v>76386.996483688214</v>
      </c>
      <c r="H43" s="377">
        <f t="shared" si="0"/>
        <v>0.38362114686549587</v>
      </c>
      <c r="I43" s="618">
        <f>33000+0.3*(F43-160000)-7200</f>
        <v>37536.276616526666</v>
      </c>
      <c r="J43" s="377">
        <f t="shared" si="1"/>
        <v>0.1885099578141862</v>
      </c>
    </row>
    <row r="44" spans="1:12">
      <c r="A44" s="621" t="s">
        <v>350</v>
      </c>
      <c r="B44" s="615">
        <v>92.091666666666626</v>
      </c>
      <c r="C44" s="616"/>
      <c r="D44" s="620" t="s">
        <v>350</v>
      </c>
      <c r="E44" s="377">
        <f t="shared" si="5"/>
        <v>8.4175414500147205E-2</v>
      </c>
      <c r="F44" s="618">
        <f t="shared" si="3"/>
        <v>215882.00820472749</v>
      </c>
      <c r="G44" s="618">
        <f t="shared" si="4"/>
        <v>83594.263528032825</v>
      </c>
      <c r="H44" s="377">
        <f t="shared" si="0"/>
        <v>0.38722200253370737</v>
      </c>
      <c r="I44" s="618">
        <f>37125+0.3*(F44-180000)-7740</f>
        <v>40149.602461418246</v>
      </c>
      <c r="J44" s="377">
        <f t="shared" si="1"/>
        <v>0.18597938195638403</v>
      </c>
    </row>
    <row r="45" spans="1:12">
      <c r="A45" s="621" t="s">
        <v>351</v>
      </c>
      <c r="B45" s="615">
        <v>102.02499999999982</v>
      </c>
      <c r="C45" s="616"/>
      <c r="D45" s="620" t="s">
        <v>351</v>
      </c>
      <c r="E45" s="377">
        <f t="shared" si="5"/>
        <v>0.10786354176092505</v>
      </c>
      <c r="F45" s="618">
        <f t="shared" si="3"/>
        <v>239167.80621215049</v>
      </c>
      <c r="G45" s="618">
        <f t="shared" si="4"/>
        <v>93607.156671224715</v>
      </c>
      <c r="H45" s="377">
        <f t="shared" si="0"/>
        <v>0.39138694355958503</v>
      </c>
      <c r="I45" s="618">
        <f>40210+0.3*(F45-195000)-8280</f>
        <v>45180.341863645146</v>
      </c>
      <c r="J45" s="377">
        <f t="shared" si="1"/>
        <v>0.18890645266682987</v>
      </c>
    </row>
    <row r="46" spans="1:12">
      <c r="A46" s="621" t="s">
        <v>352</v>
      </c>
      <c r="B46" s="615">
        <v>108.59999999999974</v>
      </c>
      <c r="C46" s="616"/>
      <c r="D46" s="620" t="s">
        <v>352</v>
      </c>
      <c r="E46" s="377">
        <f t="shared" si="5"/>
        <v>6.4444988973290096E-2</v>
      </c>
      <c r="F46" s="618">
        <f t="shared" si="3"/>
        <v>254580.97284625852</v>
      </c>
      <c r="G46" s="618">
        <f t="shared" si="4"/>
        <v>100234.81832389116</v>
      </c>
      <c r="H46" s="377">
        <f t="shared" si="0"/>
        <v>0.39372470457335779</v>
      </c>
      <c r="I46" s="618">
        <f>43260+0.3*(F46-210000)-9756</f>
        <v>46878.291853877556</v>
      </c>
      <c r="J46" s="377">
        <f t="shared" si="1"/>
        <v>0.1841390239410679</v>
      </c>
    </row>
    <row r="47" spans="1:12">
      <c r="A47" s="621" t="s">
        <v>353</v>
      </c>
      <c r="B47" s="615">
        <v>112.75833333333333</v>
      </c>
      <c r="C47" s="616"/>
      <c r="D47" s="620" t="s">
        <v>353</v>
      </c>
      <c r="E47" s="377">
        <f t="shared" si="5"/>
        <v>3.8290362185392279E-2</v>
      </c>
      <c r="F47" s="618">
        <f t="shared" si="3"/>
        <v>264328.97050205129</v>
      </c>
      <c r="G47" s="618">
        <f t="shared" si="4"/>
        <v>104426.45731588206</v>
      </c>
      <c r="H47" s="377">
        <f t="shared" si="0"/>
        <v>0.39506247505727593</v>
      </c>
      <c r="I47" s="618">
        <f>45450+0.3*(F47-221000)-10260</f>
        <v>48188.691150615385</v>
      </c>
      <c r="J47" s="377">
        <f t="shared" si="1"/>
        <v>0.18230574975981084</v>
      </c>
    </row>
    <row r="48" spans="1:12">
      <c r="A48" s="626" t="s">
        <v>417</v>
      </c>
      <c r="B48" s="627">
        <v>123.3</v>
      </c>
      <c r="C48" s="628"/>
      <c r="D48" s="622" t="s">
        <v>417</v>
      </c>
      <c r="E48" s="378">
        <f t="shared" ref="E48" si="6">B48/B47-1</f>
        <v>9.3489025201389353E-2</v>
      </c>
      <c r="F48" s="623">
        <f t="shared" ref="F48" si="7">B48/B47*F47</f>
        <v>289040.82828677486</v>
      </c>
      <c r="G48" s="623">
        <f t="shared" ref="G48" si="8">17070+0.43*(F48-56000)-2225</f>
        <v>115052.55616331319</v>
      </c>
      <c r="H48" s="378">
        <f t="shared" ref="H48" si="9">G48/F48</f>
        <v>0.39804949648553661</v>
      </c>
      <c r="I48" s="623">
        <f>51300+0.3*(F48-250000)-11440</f>
        <v>51572.248486032462</v>
      </c>
      <c r="J48" s="378">
        <f t="shared" ref="J48" si="10">I48/F48</f>
        <v>0.17842547985942153</v>
      </c>
      <c r="L48" s="415"/>
    </row>
    <row r="49" spans="1:10">
      <c r="A49" s="375"/>
      <c r="B49" s="376"/>
      <c r="C49" s="376"/>
      <c r="D49" s="376"/>
      <c r="E49" s="376"/>
      <c r="F49" s="376"/>
      <c r="G49" s="376"/>
      <c r="H49" s="376"/>
      <c r="I49" s="376"/>
      <c r="J49" s="379"/>
    </row>
    <row r="50" spans="1:10">
      <c r="A50" s="375" t="s">
        <v>328</v>
      </c>
      <c r="B50" s="376"/>
      <c r="C50" s="376"/>
      <c r="D50" s="376"/>
      <c r="E50" s="376"/>
      <c r="F50" s="376"/>
      <c r="G50" s="376"/>
      <c r="H50" s="376"/>
      <c r="I50" s="376"/>
      <c r="J50" s="379"/>
    </row>
    <row r="51" spans="1:10">
      <c r="A51" s="375"/>
      <c r="B51" s="376"/>
      <c r="C51" s="376"/>
      <c r="D51" s="376"/>
      <c r="E51" s="376"/>
      <c r="F51" s="376"/>
      <c r="G51" s="376"/>
      <c r="H51" s="376"/>
      <c r="I51" s="376"/>
      <c r="J51" s="379"/>
    </row>
    <row r="52" spans="1:10">
      <c r="A52" s="375" t="s">
        <v>329</v>
      </c>
      <c r="B52" s="376"/>
      <c r="C52" s="376"/>
      <c r="D52" s="380">
        <v>100000</v>
      </c>
      <c r="E52" s="376"/>
      <c r="F52" s="376"/>
      <c r="G52" s="376"/>
      <c r="H52" s="376"/>
      <c r="I52" s="376"/>
      <c r="J52" s="379"/>
    </row>
    <row r="53" spans="1:10">
      <c r="A53" s="375"/>
      <c r="B53" s="376"/>
      <c r="C53" s="376"/>
      <c r="D53" s="376"/>
      <c r="E53" s="376"/>
      <c r="F53" s="376" t="s">
        <v>330</v>
      </c>
      <c r="G53" s="376"/>
      <c r="H53" s="376"/>
      <c r="I53" s="376"/>
      <c r="J53" s="379"/>
    </row>
    <row r="54" spans="1:10">
      <c r="A54" s="375"/>
      <c r="B54" s="376"/>
      <c r="C54" s="376"/>
      <c r="D54" s="376"/>
      <c r="E54" s="376"/>
      <c r="F54" s="381">
        <v>100000</v>
      </c>
      <c r="G54" s="376"/>
      <c r="H54" s="376"/>
      <c r="I54" s="376"/>
      <c r="J54" s="379"/>
    </row>
    <row r="55" spans="1:10">
      <c r="A55" s="382"/>
      <c r="B55" s="383"/>
      <c r="C55" s="383"/>
      <c r="D55" s="383"/>
      <c r="E55" s="383"/>
      <c r="F55" s="384">
        <f>B32/B31*F54</f>
        <v>107755.42098066033</v>
      </c>
      <c r="G55" s="385"/>
      <c r="H55" s="383"/>
      <c r="I55" s="383"/>
      <c r="J55" s="386"/>
    </row>
    <row r="56" spans="1:10">
      <c r="A56" s="311"/>
      <c r="B56" s="311"/>
      <c r="C56" s="311"/>
      <c r="D56" s="311"/>
      <c r="E56" s="311"/>
      <c r="F56" s="311"/>
      <c r="G56" s="311"/>
      <c r="H56" s="311"/>
      <c r="I56" s="311"/>
      <c r="J56" s="311"/>
    </row>
  </sheetData>
  <hyperlinks>
    <hyperlink ref="B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59</vt:i4>
      </vt:variant>
    </vt:vector>
  </HeadingPairs>
  <TitlesOfParts>
    <vt:vector size="119" baseType="lpstr">
      <vt:lpstr>CONTENTS</vt:lpstr>
      <vt:lpstr>2.1</vt:lpstr>
      <vt:lpstr>2.2</vt:lpstr>
      <vt:lpstr>2.3</vt:lpstr>
      <vt:lpstr>2.4</vt:lpstr>
      <vt:lpstr>2.5</vt:lpstr>
      <vt:lpstr>2.6</vt:lpstr>
      <vt:lpstr>2.7</vt:lpstr>
      <vt:lpstr>Fig 2.1</vt:lpstr>
      <vt:lpstr>Fig 2.2</vt:lpstr>
      <vt:lpstr>Fig 2.3</vt:lpstr>
      <vt:lpstr>Fig 2.4</vt:lpstr>
      <vt:lpstr>Fig 2.5</vt:lpstr>
      <vt:lpstr>Fig 2.6</vt:lpstr>
      <vt:lpstr>Fig 2.7</vt:lpstr>
      <vt:lpstr>Fig 2.8</vt:lpstr>
      <vt:lpstr>Fig 2.9</vt:lpstr>
      <vt:lpstr>A2.1.1</vt:lpstr>
      <vt:lpstr>A2.1.1 continued</vt:lpstr>
      <vt:lpstr>A2.1.2</vt:lpstr>
      <vt:lpstr>A2.1.2 continued</vt:lpstr>
      <vt:lpstr>A2.1.3</vt:lpstr>
      <vt:lpstr>A2.1.4</vt:lpstr>
      <vt:lpstr>A2.1.5</vt:lpstr>
      <vt:lpstr>A2.1.6</vt:lpstr>
      <vt:lpstr>A2.2.1</vt:lpstr>
      <vt:lpstr>A2.3.1</vt:lpstr>
      <vt:lpstr>A2.3.1 continued</vt:lpstr>
      <vt:lpstr>A2.3.2</vt:lpstr>
      <vt:lpstr>A2.4.1</vt:lpstr>
      <vt:lpstr>A2.4.1 continued</vt:lpstr>
      <vt:lpstr>A2.5.1</vt:lpstr>
      <vt:lpstr>A2.5.2</vt:lpstr>
      <vt:lpstr>A2.5.2 continued</vt:lpstr>
      <vt:lpstr>A2.5.3</vt:lpstr>
      <vt:lpstr>A2.5.3 continued</vt:lpstr>
      <vt:lpstr>A2.5.4</vt:lpstr>
      <vt:lpstr>A2.5.4 continued</vt:lpstr>
      <vt:lpstr>A2.6.1</vt:lpstr>
      <vt:lpstr>A2.6.2</vt:lpstr>
      <vt:lpstr>A2.6.2 continued</vt:lpstr>
      <vt:lpstr>A2.6.3</vt:lpstr>
      <vt:lpstr>A2.6.3 continued</vt:lpstr>
      <vt:lpstr>A2.6.4</vt:lpstr>
      <vt:lpstr>A2.6.4 continued</vt:lpstr>
      <vt:lpstr>A2.7.1</vt:lpstr>
      <vt:lpstr>A2.7.2</vt:lpstr>
      <vt:lpstr>A2.7.2 continued</vt:lpstr>
      <vt:lpstr>A2.7.3</vt:lpstr>
      <vt:lpstr>A2.7.3 continued</vt:lpstr>
      <vt:lpstr>A2.7.4</vt:lpstr>
      <vt:lpstr>A2.7.4 continued</vt:lpstr>
      <vt:lpstr>A2.7.5</vt:lpstr>
      <vt:lpstr>A2.7.5 continued</vt:lpstr>
      <vt:lpstr>A2.7.6</vt:lpstr>
      <vt:lpstr>A2.7.6 continued</vt:lpstr>
      <vt:lpstr>A2.7.7</vt:lpstr>
      <vt:lpstr>A2.7.7 continued</vt:lpstr>
      <vt:lpstr>A2.7.8</vt:lpstr>
      <vt:lpstr>A2.7.8 continued</vt:lpstr>
      <vt:lpstr>'2.1'!Print_Area</vt:lpstr>
      <vt:lpstr>'2.2'!Print_Area</vt:lpstr>
      <vt:lpstr>'2.3'!Print_Area</vt:lpstr>
      <vt:lpstr>'2.4'!Print_Area</vt:lpstr>
      <vt:lpstr>'2.5'!Print_Area</vt:lpstr>
      <vt:lpstr>'2.6'!Print_Area</vt:lpstr>
      <vt:lpstr>'2.7'!Print_Area</vt:lpstr>
      <vt:lpstr>A2.1.1!Print_Area</vt:lpstr>
      <vt:lpstr>'A2.1.1 continued'!Print_Area</vt:lpstr>
      <vt:lpstr>A2.1.2!Print_Area</vt:lpstr>
      <vt:lpstr>'A2.1.2 continued'!Print_Area</vt:lpstr>
      <vt:lpstr>A2.1.3!Print_Area</vt:lpstr>
      <vt:lpstr>A2.1.4!Print_Area</vt:lpstr>
      <vt:lpstr>A2.1.5!Print_Area</vt:lpstr>
      <vt:lpstr>A2.1.6!Print_Area</vt:lpstr>
      <vt:lpstr>A2.2.1!Print_Area</vt:lpstr>
      <vt:lpstr>A2.3.1!Print_Area</vt:lpstr>
      <vt:lpstr>'A2.3.1 continued'!Print_Area</vt:lpstr>
      <vt:lpstr>A2.3.2!Print_Area</vt:lpstr>
      <vt:lpstr>A2.4.1!Print_Area</vt:lpstr>
      <vt:lpstr>'A2.4.1 continued'!Print_Area</vt:lpstr>
      <vt:lpstr>A2.5.1!Print_Area</vt:lpstr>
      <vt:lpstr>A2.5.2!Print_Area</vt:lpstr>
      <vt:lpstr>'A2.5.2 continued'!Print_Area</vt:lpstr>
      <vt:lpstr>A2.5.3!Print_Area</vt:lpstr>
      <vt:lpstr>'A2.5.3 continued'!Print_Area</vt:lpstr>
      <vt:lpstr>A2.5.4!Print_Area</vt:lpstr>
      <vt:lpstr>'A2.5.4 continued'!Print_Area</vt:lpstr>
      <vt:lpstr>A2.6.1!Print_Area</vt:lpstr>
      <vt:lpstr>A2.6.2!Print_Area</vt:lpstr>
      <vt:lpstr>'A2.6.2 continued'!Print_Area</vt:lpstr>
      <vt:lpstr>A2.6.3!Print_Area</vt:lpstr>
      <vt:lpstr>'A2.6.3 continued'!Print_Area</vt:lpstr>
      <vt:lpstr>A2.6.4!Print_Area</vt:lpstr>
      <vt:lpstr>'A2.6.4 continued'!Print_Area</vt:lpstr>
      <vt:lpstr>A2.7.1!Print_Area</vt:lpstr>
      <vt:lpstr>A2.7.2!Print_Area</vt:lpstr>
      <vt:lpstr>'A2.7.2 continued'!Print_Area</vt:lpstr>
      <vt:lpstr>A2.7.3!Print_Area</vt:lpstr>
      <vt:lpstr>'A2.7.3 continued'!Print_Area</vt:lpstr>
      <vt:lpstr>A2.7.4!Print_Area</vt:lpstr>
      <vt:lpstr>'A2.7.4 continued'!Print_Area</vt:lpstr>
      <vt:lpstr>A2.7.5!Print_Area</vt:lpstr>
      <vt:lpstr>'A2.7.5 continued'!Print_Area</vt:lpstr>
      <vt:lpstr>A2.7.6!Print_Area</vt:lpstr>
      <vt:lpstr>'A2.7.6 continued'!Print_Area</vt:lpstr>
      <vt:lpstr>A2.7.7!Print_Area</vt:lpstr>
      <vt:lpstr>'A2.7.7 continued'!Print_Area</vt:lpstr>
      <vt:lpstr>A2.7.8!Print_Area</vt:lpstr>
      <vt:lpstr>'A2.7.8 continued'!Print_Area</vt:lpstr>
      <vt:lpstr>'Fig 2.1'!Print_Area</vt:lpstr>
      <vt:lpstr>'Fig 2.2'!Print_Area</vt:lpstr>
      <vt:lpstr>'Fig 2.3'!Print_Area</vt:lpstr>
      <vt:lpstr>'Fig 2.4'!Print_Area</vt:lpstr>
      <vt:lpstr>'Fig 2.5'!Print_Area</vt:lpstr>
      <vt:lpstr>'Fig 2.6'!Print_Area</vt:lpstr>
      <vt:lpstr>'Fig 2.7'!Print_Area</vt:lpstr>
      <vt:lpstr>'Fig 2.8'!Print_Area</vt:lpstr>
      <vt:lpstr>'Fig 2.9'!Print_Area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Devenee Mudely</dc:creator>
  <cp:lastModifiedBy>s2016511 (Cristina da Silva)</cp:lastModifiedBy>
  <cp:lastPrinted>2012-10-11T08:37:34Z</cp:lastPrinted>
  <dcterms:created xsi:type="dcterms:W3CDTF">1996-10-14T23:33:28Z</dcterms:created>
  <dcterms:modified xsi:type="dcterms:W3CDTF">2012-10-11T09:36:30Z</dcterms:modified>
</cp:coreProperties>
</file>